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showInkAnnotation="0" codeName="ThisWorkbook" defaultThemeVersion="124226"/>
  <mc:AlternateContent xmlns:mc="http://schemas.openxmlformats.org/markup-compatibility/2006">
    <mc:Choice Requires="x15">
      <x15ac:absPath xmlns:x15ac="http://schemas.microsoft.com/office/spreadsheetml/2010/11/ac" url="http://bikube/Oppdrag/605893/02/Dokumenter/v3 2021/Utvikling nytt verktøy/utvikling preanalyse/"/>
    </mc:Choice>
  </mc:AlternateContent>
  <xr:revisionPtr revIDLastSave="0" documentId="13_ncr:1_{77742F0F-2D24-4DD8-B303-2DB10A205184}" xr6:coauthVersionLast="47" xr6:coauthVersionMax="47" xr10:uidLastSave="{00000000-0000-0000-0000-000000000000}"/>
  <workbookProtection workbookAlgorithmName="SHA-512" workbookHashValue="1XzW09J1A7VLgaZW0aluVCTKLRWgKRhjNaLNZswmLLzp5+ftLJ1IPeXjmv/uYBzlVmgzncGQWj7BnaloCyzCLg==" workbookSaltValue="5VgmbObuX/HV728+Sj2p4Q==" workbookSpinCount="100000" lockStructure="1"/>
  <bookViews>
    <workbookView xWindow="-120" yWindow="-120" windowWidth="29040" windowHeight="17640" tabRatio="832" activeTab="1" xr2:uid="{00000000-000D-0000-FFFF-FFFF00000000}"/>
  </bookViews>
  <sheets>
    <sheet name="Instructions" sheetId="12" r:id="rId1"/>
    <sheet name="Assessment Details" sheetId="3" r:id="rId2"/>
    <sheet name="Pre-Assessment Estimator" sheetId="5" r:id="rId3"/>
    <sheet name="Poeng" sheetId="13" state="hidden" r:id="rId4"/>
    <sheet name="Credit list" sheetId="22" state="hidden" r:id="rId5"/>
    <sheet name="Manuell filtrering og justering" sheetId="16" state="hidden" r:id="rId6"/>
    <sheet name="Summary of Building Performance" sheetId="11" r:id="rId7"/>
    <sheet name="PAE available for copy" sheetId="21" r:id="rId8"/>
    <sheet name="Version Control" sheetId="8" r:id="rId9"/>
    <sheet name="Sheet1" sheetId="17" r:id="rId10"/>
    <sheet name="Sheet2" sheetId="18" r:id="rId11"/>
    <sheet name="Sheet3" sheetId="19" r:id="rId12"/>
  </sheets>
  <definedNames>
    <definedName name="_xlnm._FilterDatabase" localSheetId="7" hidden="1">'PAE available for copy'!$A$9:$Y$222</definedName>
    <definedName name="_xlnm._FilterDatabase" localSheetId="3" hidden="1">Poeng!$C$8:$Q$214</definedName>
    <definedName name="_xlnm._FilterDatabase" localSheetId="2" hidden="1">'Pre-Assessment Estimator'!$A$9:$AF$225</definedName>
    <definedName name="_PSc1">'Assessment Details'!$P$70</definedName>
    <definedName name="_PSc2">'Assessment Details'!#REF!</definedName>
    <definedName name="Achieved_const">'Summary of Building Performance'!$H$46</definedName>
    <definedName name="Achieved_design">'Summary of Building Performance'!$F$46</definedName>
    <definedName name="Achieved_initial">'Summary of Building Performance'!$D$46</definedName>
    <definedName name="AD_Add01">'Assessment Details'!$C$14</definedName>
    <definedName name="AD_Add02">'Assessment Details'!$C$15</definedName>
    <definedName name="AD_Add04">'Assessment Details'!$C$17</definedName>
    <definedName name="AD_Architect">'Assessment Details'!$C$25</definedName>
    <definedName name="AD_assessor">'Assessment Details'!$C$8</definedName>
    <definedName name="AD_Assessor_org">'Assessment Details'!$C$9</definedName>
    <definedName name="AD_Banner">'Assessment Details'!$B$2</definedName>
    <definedName name="AD_BREEAM_stage">'Assessment Details'!$Q$5</definedName>
    <definedName name="AD_BREEAM_version">'Assessment Details'!$Q$8</definedName>
    <definedName name="AD_BREEAMAP">'Assessment Details'!$C$28</definedName>
    <definedName name="AD_Buildserve">'Assessment Details'!$C$27</definedName>
    <definedName name="AD_Builduser">'Assessment Details'!$C$7</definedName>
    <definedName name="AD_catlevel">'Assessment Details'!#REF!</definedName>
    <definedName name="AD_catlevel01">'Assessment Details'!$Q$31</definedName>
    <definedName name="AD_catlevel02">'Assessment Details'!$Q$32</definedName>
    <definedName name="AD_catlevel03">'Assessment Details'!$Q$33</definedName>
    <definedName name="AD_client">'Assessment Details'!$C$6</definedName>
    <definedName name="AD_Contractor">'Assessment Details'!$C$24</definedName>
    <definedName name="AD_Developer">'Assessment Details'!$C$23</definedName>
    <definedName name="AD_Energyload">'Assessment Details'!$F$22</definedName>
    <definedName name="AD_GIA">'Assessment Details'!$F$12</definedName>
    <definedName name="AD_heat">'Assessment Details'!$F$15</definedName>
    <definedName name="AD_labcat_list">'Assessment Details'!$Q$31:$Q$34</definedName>
    <definedName name="AD_Labsize">'Assessment Details'!$F$21</definedName>
    <definedName name="AD_Labsize_list">'Assessment Details'!$Q$26:$Q$29</definedName>
    <definedName name="AD_Labsize01">'Assessment Details'!$Q$27</definedName>
    <definedName name="AD_Labsize02">'Assessment Details'!$Q$28</definedName>
    <definedName name="AD_Labsize03">'Assessment Details'!$Q$29</definedName>
    <definedName name="AD_labsize04">'Assessment Details'!$Q$26</definedName>
    <definedName name="AD_MultiRes_option01a">'Assessment Details'!$P$92</definedName>
    <definedName name="AD_MultiRes_option01b">'Assessment Details'!$P$93</definedName>
    <definedName name="AD_Multitenant">'Assessment Details'!$Q$42</definedName>
    <definedName name="AD_NIFA">'Assessment Details'!$F$13</definedName>
    <definedName name="AD_no">'Assessment Details'!$Q$23</definedName>
    <definedName name="AD_nolab" localSheetId="7">'Assessment Details'!#REF!</definedName>
    <definedName name="AD_nolab">'Assessment Details'!#REF!</definedName>
    <definedName name="AD_option_na">'Assessment Details'!$Q$24</definedName>
    <definedName name="AD_Other01">'Assessment Details'!$C$29</definedName>
    <definedName name="AD_Other02">'Assessment Details'!$C$30</definedName>
    <definedName name="AD_other03">'Assessment Details'!$C$31</definedName>
    <definedName name="AD_Other04">'Assessment Details'!$C$32</definedName>
    <definedName name="AD_Ozoneleg">'Assessment Details'!$P$69</definedName>
    <definedName name="AD_p_zone0">'Assessment Details'!$T$87</definedName>
    <definedName name="AD_p_zone1">'Assessment Details'!$T$88</definedName>
    <definedName name="AD_P_zone2">'Assessment Details'!$T$89</definedName>
    <definedName name="AD_P_Zone3">'Assessment Details'!$T$90</definedName>
    <definedName name="AD_Projman">'Assessment Details'!$C$26</definedName>
    <definedName name="AD_ref">'Assessment Details'!$C$5</definedName>
    <definedName name="AD_refrig">'Assessment Details'!$F$19</definedName>
    <definedName name="AD_stage_list">'Assessment Details'!$Q$18:$Q$19</definedName>
    <definedName name="AD_statement03" localSheetId="7">'Assessment Details'!#REF!</definedName>
    <definedName name="AD_statement03">'Assessment Details'!#REF!</definedName>
    <definedName name="AD_Statement04">'Assessment Details'!$Q$44</definedName>
    <definedName name="AD_statement05">'Assessment Details'!$Q$45</definedName>
    <definedName name="AD_statement06">'Assessment Details'!$Q$46</definedName>
    <definedName name="AD_tra01type">'Assessment Details'!$P$64</definedName>
    <definedName name="AD_Trans">'Assessment Details'!$F$20</definedName>
    <definedName name="AD_type_list">'Assessment Details'!$L$5:$L$8</definedName>
    <definedName name="AD_version">'Assessment Details'!$R$82</definedName>
    <definedName name="AD_Yes">'Assessment Details'!$Q$22</definedName>
    <definedName name="AD_YesNo">'Assessment Details'!$Q$22:$Q$23</definedName>
    <definedName name="AD_YesNo_list">'Assessment Details'!$Q$22:$Q$24</definedName>
    <definedName name="ADAS0">'Assessment Details'!$R$80</definedName>
    <definedName name="ADAS01">'Assessment Details'!$Q$18</definedName>
    <definedName name="ADAS02">'Assessment Details'!$Q$19</definedName>
    <definedName name="ADBN">'Assessment Details'!$C$13</definedName>
    <definedName name="ADBT_sub02">'Assessment Details'!$O$5</definedName>
    <definedName name="ADBT_sub03">'Assessment Details'!$O$6</definedName>
    <definedName name="ADBT_sub04">'Assessment Details'!$O$7</definedName>
    <definedName name="ADBT_sub05">'Assessment Details'!$O$8</definedName>
    <definedName name="ADBT_sub06">'Assessment Details'!$O$9</definedName>
    <definedName name="ADBT_sub07">'Assessment Details'!$O$10</definedName>
    <definedName name="ADBT_sub08">'Assessment Details'!$O$11</definedName>
    <definedName name="ADBT_sub09">'Assessment Details'!$O$12</definedName>
    <definedName name="ADBT_sub10">'Assessment Details'!$O$13</definedName>
    <definedName name="ADBT_sub11">'Assessment Details'!$O$14</definedName>
    <definedName name="ADBT_sub12">'Assessment Details'!$O$15</definedName>
    <definedName name="ADBT_sub13">'Assessment Details'!$O$16</definedName>
    <definedName name="ADBT_sub14">'Assessment Details'!$O$17</definedName>
    <definedName name="ADBT_sub15">'Assessment Details'!$O$18</definedName>
    <definedName name="ADBT_sub16">'Assessment Details'!$O$19</definedName>
    <definedName name="ADBT_sub17">'Assessment Details'!$O$20</definedName>
    <definedName name="ADBT0">'Assessment Details'!$F$5</definedName>
    <definedName name="ADBT1">'Assessment Details'!$L$5</definedName>
    <definedName name="ADBT12">'Assessment Details'!$L$9</definedName>
    <definedName name="ADBT13">'Assessment Details'!$L$10</definedName>
    <definedName name="ADBT14">'Assessment Details'!$L$11</definedName>
    <definedName name="ADBT15">'Assessment Details'!$L$12</definedName>
    <definedName name="ADBT16">'Assessment Details'!$L$13</definedName>
    <definedName name="ADBT17">'Assessment Details'!$L$14</definedName>
    <definedName name="ADBT18">'Assessment Details'!$L$15</definedName>
    <definedName name="ADBT19">'Assessment Details'!$L$16</definedName>
    <definedName name="ADBT2">'Assessment Details'!$L$6</definedName>
    <definedName name="ADBT20">'Assessment Details'!$L$17</definedName>
    <definedName name="ADBT3">'Assessment Details'!$L$7</definedName>
    <definedName name="ADBT8">'Assessment Details'!$L$8</definedName>
    <definedName name="ADBT9">'Assessment Details'!$L$5</definedName>
    <definedName name="ADFume_option01">'Assessment Details'!$P$43</definedName>
    <definedName name="ADIND_option02">'Assessment Details'!$F$16</definedName>
    <definedName name="ADIND_option03">'Assessment Details'!$F$17</definedName>
    <definedName name="ADPT">'Assessment Details'!$F$7</definedName>
    <definedName name="ADPT01">'Assessment Details'!$Q$11</definedName>
    <definedName name="ADPT02">'Assessment Details'!$Q$13</definedName>
    <definedName name="ADPT03">'Assessment Details'!$Q$14</definedName>
    <definedName name="ADPT04">'Assessment Details'!$Q$15</definedName>
    <definedName name="AIS_NA">Poeng!$F$6</definedName>
    <definedName name="ais_no">Poeng!$F$5</definedName>
    <definedName name="AIS_statement09" localSheetId="7">'Assessment Details'!#REF!</definedName>
    <definedName name="AIS_statement09">'Assessment Details'!#REF!</definedName>
    <definedName name="AIS_statement29">'Assessment Details'!$B$37</definedName>
    <definedName name="ais_yes">Poeng!$F$4</definedName>
    <definedName name="BP_01">'Summary of Building Performance'!$C$36</definedName>
    <definedName name="BP_02">'Summary of Building Performance'!$C$37</definedName>
    <definedName name="BP_03">'Summary of Building Performance'!$C$38</definedName>
    <definedName name="BP_04">'Summary of Building Performance'!$C$39</definedName>
    <definedName name="BP_05">'Summary of Building Performance'!$C$40</definedName>
    <definedName name="BP_06">'Summary of Building Performance'!$C$41</definedName>
    <definedName name="BP_07">'Summary of Building Performance'!$C$42</definedName>
    <definedName name="BP_08">'Summary of Building Performance'!$C$43</definedName>
    <definedName name="BP_09">'Summary of Building Performance'!$C$44</definedName>
    <definedName name="BP_10">'Summary of Building Performance'!$C$45</definedName>
    <definedName name="BP_11">'Summary of Building Performance'!$D$36</definedName>
    <definedName name="BP_12">'Summary of Building Performance'!$D$37</definedName>
    <definedName name="BP_13">'Summary of Building Performance'!$D$38</definedName>
    <definedName name="BP_14">'Summary of Building Performance'!$D$39</definedName>
    <definedName name="BP_15">'Summary of Building Performance'!$D$40</definedName>
    <definedName name="BP_16">'Summary of Building Performance'!$D$41</definedName>
    <definedName name="BP_18">'Summary of Building Performance'!$D$42</definedName>
    <definedName name="BP_19">'Summary of Building Performance'!$D$43</definedName>
    <definedName name="BP_20">'Summary of Building Performance'!$D$44</definedName>
    <definedName name="BP_21">'Summary of Building Performance'!$D$45</definedName>
    <definedName name="BP_22">'Summary of Building Performance'!$E$36</definedName>
    <definedName name="BP_23">'Summary of Building Performance'!$E$37</definedName>
    <definedName name="BP_24">'Summary of Building Performance'!$E$38</definedName>
    <definedName name="BP_25">'Summary of Building Performance'!$E$39</definedName>
    <definedName name="BP_26">'Summary of Building Performance'!$E$40</definedName>
    <definedName name="BP_27">'Summary of Building Performance'!$E$41</definedName>
    <definedName name="BP_28">'Summary of Building Performance'!$E$42</definedName>
    <definedName name="BP_29">'Summary of Building Performance'!$E$43</definedName>
    <definedName name="BP_30">'Summary of Building Performance'!$E$44</definedName>
    <definedName name="BP_31">'Summary of Building Performance'!$E$45</definedName>
    <definedName name="BP_BREEAMRating">Poeng!$BD$262</definedName>
    <definedName name="BP_Energy_score">'Summary of Building Performance'!$K$38</definedName>
    <definedName name="BP_Innovation_score">'Summary of Building Performance'!$K$45</definedName>
    <definedName name="BP_LUE_score">'Summary of Building Performance'!$K$43</definedName>
    <definedName name="BP_Man_score">'Summary of Building Performance'!$K$36</definedName>
    <definedName name="BP_Materials_score">'Summary of Building Performance'!$K$41</definedName>
    <definedName name="BP_MinStandards">Poeng!$BD$257</definedName>
    <definedName name="BP_MinStandards_const">Poeng!$BJ$257</definedName>
    <definedName name="BP_MinStandards_design">Poeng!$BG$257</definedName>
    <definedName name="BP_Trans_score">'Summary of Building Performance'!$K$39</definedName>
    <definedName name="BP_Waste_Score">'Summary of Building Performance'!$K$42</definedName>
    <definedName name="BP_Water_score">'Summary of Building Performance'!$K$40</definedName>
    <definedName name="BRK_Banner" localSheetId="7">'PAE available for copy'!$D$1</definedName>
    <definedName name="BRK_Banner">'Pre-Assessment Estimator'!$E$1</definedName>
    <definedName name="Ene_01">Poeng!$D$69</definedName>
    <definedName name="Ene_02">Poeng!$D$75</definedName>
    <definedName name="Ene_03">Poeng!$D$79</definedName>
    <definedName name="Ene_04">Poeng!$D$82</definedName>
    <definedName name="Ene_05">Poeng!$D$83</definedName>
    <definedName name="Ene_06">Poeng!$D$86</definedName>
    <definedName name="Ene_07">Poeng!$D$90</definedName>
    <definedName name="Ene_08">Poeng!$D$93</definedName>
    <definedName name="Ene_09">Poeng!$D$95</definedName>
    <definedName name="Ene_23">Poeng!$D$96</definedName>
    <definedName name="Ene_c_user">Poeng!$AJ$97</definedName>
    <definedName name="Ene_cont_tot">Poeng!$AD$97</definedName>
    <definedName name="Ene_Credits">Poeng!$AA$97</definedName>
    <definedName name="Ene_d_user">Poeng!$AI$97</definedName>
    <definedName name="Ene_tot_user">Poeng!$AH$97</definedName>
    <definedName name="Ene_Weight">'Summary of Building Performance'!$J$38</definedName>
    <definedName name="Ene01_27">Poeng!$BS$309</definedName>
    <definedName name="Ene01_28">Poeng!$BD$69</definedName>
    <definedName name="Ene01_41">Poeng!$AC$69</definedName>
    <definedName name="Ene01_42">Poeng!$AD$69</definedName>
    <definedName name="Ene01_credits">Poeng!$AA$69</definedName>
    <definedName name="Ene01_Crit1">Poeng!$D$238</definedName>
    <definedName name="Ene01_Crit1_credits">Poeng!$AA$238</definedName>
    <definedName name="Ene01_minstd">Poeng!$BD$238</definedName>
    <definedName name="Ene01_tot">Poeng!$BR$309</definedName>
    <definedName name="Ene01_user">Poeng!$AH$69</definedName>
    <definedName name="Ene02_10">Poeng!$AC$75</definedName>
    <definedName name="Ene02_11">Poeng!$BS$310</definedName>
    <definedName name="Ene02_12">Poeng!$BD$75</definedName>
    <definedName name="Ene02_13">Poeng!$AD$75</definedName>
    <definedName name="Ene02_credits">Poeng!$AA$75</definedName>
    <definedName name="Ene02_tot">Poeng!$BR$310</definedName>
    <definedName name="Ene02_user">Poeng!$AH$75</definedName>
    <definedName name="Ene03_05">Poeng!$AC$79</definedName>
    <definedName name="Ene03_06">Poeng!$AD$79</definedName>
    <definedName name="Ene03_credits">Poeng!$AA$79</definedName>
    <definedName name="Ene03_minstd">Poeng!$BD$79</definedName>
    <definedName name="Ene03_tot" localSheetId="7">Poeng!#REF!</definedName>
    <definedName name="Ene03_tot">Poeng!#REF!</definedName>
    <definedName name="Ene03_user">Poeng!$AH$79</definedName>
    <definedName name="Ene04_15">Poeng!$BR$314</definedName>
    <definedName name="Ene04_16">Poeng!$BD$82</definedName>
    <definedName name="Ene04_19">Poeng!$AC$82</definedName>
    <definedName name="Ene04_20">Poeng!$AD$82</definedName>
    <definedName name="Ene04_credits">Poeng!$AA$82</definedName>
    <definedName name="Ene04_tot">Poeng!$BQ$314</definedName>
    <definedName name="Ene04_user">Poeng!$AH$82</definedName>
    <definedName name="Ene05_14">Poeng!$BR$83</definedName>
    <definedName name="Ene05_15">Poeng!$BD$83</definedName>
    <definedName name="Ene05_20">Poeng!$AC$83</definedName>
    <definedName name="Ene05_21">Poeng!$AD$83</definedName>
    <definedName name="Ene05_credits">Poeng!$AA$83</definedName>
    <definedName name="Ene05_tot">Poeng!$BQ$83</definedName>
    <definedName name="Ene05_user">Poeng!$AH$83</definedName>
    <definedName name="Ene06_11">Poeng!$AC$86</definedName>
    <definedName name="Ene06_12">Poeng!$AD$86</definedName>
    <definedName name="Ene06_credits">Poeng!$AA$86</definedName>
    <definedName name="Ene06_minstd">Poeng!$BD$86</definedName>
    <definedName name="Ene06_tot">Poeng!$BQ$86</definedName>
    <definedName name="Ene06_user">Poeng!$AH$86</definedName>
    <definedName name="Ene07_24">Poeng!$AC$90</definedName>
    <definedName name="Ene07_25">Poeng!$AD$90</definedName>
    <definedName name="Ene07_credits">Poeng!$AA$90</definedName>
    <definedName name="Ene07_minstd">Poeng!$BD$90</definedName>
    <definedName name="Ene07_tot">Poeng!$BQ$90</definedName>
    <definedName name="Ene07_user">Poeng!$AH$90</definedName>
    <definedName name="Ene08_27">Poeng!$AC$93</definedName>
    <definedName name="Ene08_29">Poeng!$AD$93</definedName>
    <definedName name="Ene08_credits">Poeng!$AA$93</definedName>
    <definedName name="Ene08_minstd">Poeng!$BD$93</definedName>
    <definedName name="Ene08_tot">Poeng!$BQ$93</definedName>
    <definedName name="Ene08_user">Poeng!$AH$93</definedName>
    <definedName name="Ene09_07">Poeng!$AC$95</definedName>
    <definedName name="Ene09_10">Poeng!$AD$95</definedName>
    <definedName name="Ene09_credits">Poeng!$AA$95</definedName>
    <definedName name="Ene09_minstd">Poeng!$BD$95</definedName>
    <definedName name="Ene09_tot">Poeng!$BQ$95</definedName>
    <definedName name="Ene09_user">Poeng!$AH$95</definedName>
    <definedName name="Ene23_cont">Poeng!$AD$96</definedName>
    <definedName name="Ene23_credits">Poeng!$AA$96</definedName>
    <definedName name="Ene23_minstd">Poeng!$BD$96</definedName>
    <definedName name="Ene23_user">Poeng!$AH$96</definedName>
    <definedName name="Hea_01">Poeng!$D$39</definedName>
    <definedName name="Hea_02">Poeng!$D$46</definedName>
    <definedName name="Hea_03">Poeng!$D$51</definedName>
    <definedName name="Hea_04">Poeng!$D$55</definedName>
    <definedName name="Hea_05">Poeng!$D$56</definedName>
    <definedName name="Hea_06">Poeng!$D$59</definedName>
    <definedName name="Hea_07">Poeng!$D$62</definedName>
    <definedName name="Hea_08">Poeng!$D$63</definedName>
    <definedName name="Hea_09">Poeng!$D$65</definedName>
    <definedName name="Hea_cont_tot">Poeng!$AD$66</definedName>
    <definedName name="Hea_Credits">Poeng!$AA$66</definedName>
    <definedName name="Hea_Weight">'Summary of Building Performance'!$J$37</definedName>
    <definedName name="Hea01_06" localSheetId="7">Poeng!#REF!</definedName>
    <definedName name="Hea01_06">Poeng!#REF!</definedName>
    <definedName name="Hea01_25" localSheetId="7">Poeng!#REF!</definedName>
    <definedName name="Hea01_25">Poeng!#REF!</definedName>
    <definedName name="Hea01_26">Poeng!$AC$39</definedName>
    <definedName name="Hea01_27">Poeng!$AD$39</definedName>
    <definedName name="Hea01_credits">Poeng!$AA$39</definedName>
    <definedName name="Hea01_minstd">Poeng!$BD$39</definedName>
    <definedName name="Hea01_tot" localSheetId="7">Poeng!#REF!</definedName>
    <definedName name="Hea01_tot">Poeng!#REF!</definedName>
    <definedName name="Hea01_user">Poeng!$AH$39</definedName>
    <definedName name="Hea02_25">Poeng!$AC$46</definedName>
    <definedName name="Hea02_26">Poeng!$AD$46</definedName>
    <definedName name="Hea02_credits">Poeng!$AA$46</definedName>
    <definedName name="Hea02_Crit1">Poeng!$D$235</definedName>
    <definedName name="Hea02_Crit1_cont">Poeng!$AD$235</definedName>
    <definedName name="Hea02_Crit1_credits">Poeng!$AA$235</definedName>
    <definedName name="Hea02_minst_crit">Poeng!$BD$235</definedName>
    <definedName name="Hea02_minstd">Poeng!$BD$46</definedName>
    <definedName name="Hea02_tot">Poeng!$BR$294</definedName>
    <definedName name="Hea02_user">Poeng!$AH$46</definedName>
    <definedName name="Hea03_09">Poeng!$AC$51</definedName>
    <definedName name="Hea03_10">Poeng!$BS$295</definedName>
    <definedName name="Hea03_11">Poeng!$BD$51</definedName>
    <definedName name="Hea03_contr">Poeng!$AD$51</definedName>
    <definedName name="Hea03_credits">Poeng!$AA$51</definedName>
    <definedName name="Hea03_tot">Poeng!$BR$295</definedName>
    <definedName name="Hea03_user">Poeng!$AH$51</definedName>
    <definedName name="Hea04_10">Poeng!$BS$296</definedName>
    <definedName name="Hea04_11">Poeng!$BD$55</definedName>
    <definedName name="Hea04_12">Poeng!$AC$55</definedName>
    <definedName name="Hea04_13">Poeng!$AD$55</definedName>
    <definedName name="Hea04_credits">Poeng!$AA$55</definedName>
    <definedName name="Hea04_tot">Poeng!$BR$296</definedName>
    <definedName name="Hea04_user">Poeng!$AH$55</definedName>
    <definedName name="Hea05_07">Poeng!$AC$56</definedName>
    <definedName name="Hea05_08">Poeng!$AD$56</definedName>
    <definedName name="Hea05_credits">Poeng!$AA$56</definedName>
    <definedName name="Hea05_minstd">Poeng!$BD$56</definedName>
    <definedName name="Hea05_tot">Poeng!$BR$298</definedName>
    <definedName name="Hea05_user">Poeng!$AH$56</definedName>
    <definedName name="Hea06_07">Poeng!$AC$59</definedName>
    <definedName name="Hea06_contr">Poeng!$AD$59</definedName>
    <definedName name="Hea06_credits">Poeng!$AA$59</definedName>
    <definedName name="Hea06_minstd">Poeng!$BD$59</definedName>
    <definedName name="Hea06_tot">Poeng!$BR$299</definedName>
    <definedName name="Hea06_user">Poeng!$AH$59</definedName>
    <definedName name="Hea07_07">Poeng!$AC$62</definedName>
    <definedName name="Hea07_contr">Poeng!$AD$62</definedName>
    <definedName name="Hea07_Credits">Poeng!$AA$62</definedName>
    <definedName name="Hea07_minstd">Poeng!$BD$62</definedName>
    <definedName name="Hea07_Tot">Poeng!$BR$301</definedName>
    <definedName name="Hea07_user">Poeng!$AH$62</definedName>
    <definedName name="Hea08_07">Poeng!$AC$63</definedName>
    <definedName name="Hea08_contr">Poeng!$AD$63</definedName>
    <definedName name="Hea08_Credits">Poeng!$AA$63</definedName>
    <definedName name="Hea08_minstd">Poeng!$BD$63</definedName>
    <definedName name="Hea08_tot">Poeng!$BR$302</definedName>
    <definedName name="Hea08_user">Poeng!$AH$63</definedName>
    <definedName name="Hea09_cont">Poeng!$AD$65</definedName>
    <definedName name="Hea09_Credits">Poeng!$AA$65</definedName>
    <definedName name="Hea09_minstd">Poeng!$BD$65</definedName>
    <definedName name="Hea09_user">Poeng!$AH$65</definedName>
    <definedName name="HUG" localSheetId="7">'PAE available for copy'!$AQ$15</definedName>
    <definedName name="HUG">'Pre-Assessment Estimator'!$AT$35</definedName>
    <definedName name="HW_c_user">Poeng!$AJ$66</definedName>
    <definedName name="HW_d_user">Poeng!$AI$66</definedName>
    <definedName name="HW_tot_user">Poeng!$AH$66</definedName>
    <definedName name="Inn_01">Poeng!$D$217</definedName>
    <definedName name="Inn_02">Poeng!$D$218</definedName>
    <definedName name="Inn_03">Poeng!$D$219</definedName>
    <definedName name="Inn_04">Poeng!$D$220</definedName>
    <definedName name="Inn_05">Poeng!$D$221</definedName>
    <definedName name="Inn_06">Poeng!$D$222</definedName>
    <definedName name="Inn_07">Poeng!$D$223</definedName>
    <definedName name="Inn_08">Poeng!$D$224</definedName>
    <definedName name="Inn_09">Poeng!$D$225</definedName>
    <definedName name="Inn_10">Poeng!$D$226</definedName>
    <definedName name="Inn_11">Poeng!$D$227</definedName>
    <definedName name="Inn_12">Poeng!$D$228</definedName>
    <definedName name="Inn_13">Poeng!$D$229</definedName>
    <definedName name="Inn_c_user">Poeng!$AJ$231</definedName>
    <definedName name="Inn_cont_tot">Poeng!$AD$231</definedName>
    <definedName name="Inn_Credits">Poeng!$AA$231</definedName>
    <definedName name="Inn_d_user">Poeng!$AI$231</definedName>
    <definedName name="Inn_tot_user">Poeng!$AH$231</definedName>
    <definedName name="Inn_Weight">'Summary of Building Performance'!$J$45</definedName>
    <definedName name="Inn01_cont">Poeng!$AD$217</definedName>
    <definedName name="Inn01_credits">Poeng!$AA$217</definedName>
    <definedName name="Inn01_minstd">Poeng!$BD$217</definedName>
    <definedName name="Inn01_user">Poeng!$AH$217</definedName>
    <definedName name="Inn02_cont">Poeng!$AD$218</definedName>
    <definedName name="Inn02_credits">Poeng!$AA$218</definedName>
    <definedName name="Inn02_minstd">Poeng!$BD$218</definedName>
    <definedName name="Inn02_user">Poeng!$AH$218</definedName>
    <definedName name="Inn03_cont">Poeng!$AD$219</definedName>
    <definedName name="Inn03_credits">Poeng!$AA$219</definedName>
    <definedName name="Inn03_minstd">Poeng!$BD$219</definedName>
    <definedName name="Inn03_user">Poeng!$AH$219</definedName>
    <definedName name="Inn04_cont">Poeng!$AD$220</definedName>
    <definedName name="Inn04_credits">Poeng!$AA$220</definedName>
    <definedName name="Inn04_minstd">Poeng!$BD$220</definedName>
    <definedName name="Inn04_user">Poeng!$AH$220</definedName>
    <definedName name="Inn05_cont">Poeng!$AD$221</definedName>
    <definedName name="Inn05_credits">Poeng!$AA$221</definedName>
    <definedName name="Inn05_minstd">Poeng!$BD$221</definedName>
    <definedName name="Inn05_user">Poeng!$AH$221</definedName>
    <definedName name="Inn06_cont">Poeng!$AD$222</definedName>
    <definedName name="Inn06_credits">Poeng!$AA$222</definedName>
    <definedName name="Inn06_minstd">Poeng!$BD$222</definedName>
    <definedName name="Inn06_user">Poeng!$AH$222</definedName>
    <definedName name="Inn07_cont">Poeng!$AD$223</definedName>
    <definedName name="Inn07_credits">Poeng!$AA$223</definedName>
    <definedName name="Inn07_minstd">Poeng!$BD$223</definedName>
    <definedName name="Inn07_user">Poeng!$AH$223</definedName>
    <definedName name="Inn08_cont">Poeng!$AD$224</definedName>
    <definedName name="Inn08_credits">Poeng!$AA$224</definedName>
    <definedName name="Inn08_minstd">Poeng!$BD$224</definedName>
    <definedName name="Inn08_user">Poeng!$AH$224</definedName>
    <definedName name="Inn09_cont">Poeng!$AD$225</definedName>
    <definedName name="Inn09_credits">Poeng!$AA$225</definedName>
    <definedName name="Inn09_minstd">Poeng!$BD$225</definedName>
    <definedName name="Inn09_user">Poeng!$AH$225</definedName>
    <definedName name="Inn10_cont">Poeng!$AD$226</definedName>
    <definedName name="Inn10_credits">Poeng!$AA$226</definedName>
    <definedName name="Inn10_minstd">Poeng!$BD$226</definedName>
    <definedName name="Inn10_user">Poeng!$AH$226</definedName>
    <definedName name="Inn11_cont">Poeng!$AD$227</definedName>
    <definedName name="Inn11_credits">Poeng!$AA$227</definedName>
    <definedName name="Inn11_minstd">Poeng!$BD$227</definedName>
    <definedName name="Inn11_user">Poeng!$AH$227</definedName>
    <definedName name="Inn12_cont">Poeng!$AD$228</definedName>
    <definedName name="Inn12_credits">Poeng!$AA$228</definedName>
    <definedName name="Inn12_minstd">Poeng!$BD$228</definedName>
    <definedName name="Inn12_user">Poeng!$AH$228</definedName>
    <definedName name="Inn13_cont">Poeng!$AD$229</definedName>
    <definedName name="Inn13_credits">Poeng!$AA$229</definedName>
    <definedName name="Inn13_minstd">Poeng!$BD$229</definedName>
    <definedName name="Inn13_user">Poeng!$AH$229</definedName>
    <definedName name="janei">'Assessment Details'!$O$51:$O$52</definedName>
    <definedName name="LE_01">Poeng!$D$169</definedName>
    <definedName name="LE_02">Poeng!$D$171</definedName>
    <definedName name="LE_03">Poeng!$D$175</definedName>
    <definedName name="LE_04">Poeng!$D$179</definedName>
    <definedName name="LE_05">Poeng!$D$183</definedName>
    <definedName name="LE_06">Poeng!$D$187</definedName>
    <definedName name="LE_07">Poeng!$D$189</definedName>
    <definedName name="LE_08">Poeng!$D$192</definedName>
    <definedName name="LE_cont_tot">Poeng!$AD$197</definedName>
    <definedName name="LE_Credits">Poeng!$AA$197</definedName>
    <definedName name="LE_Weight">'Summary of Building Performance'!$J$43</definedName>
    <definedName name="LE01_07">Poeng!$AC$169</definedName>
    <definedName name="LE01_08">Poeng!$AD$169</definedName>
    <definedName name="LE01_credits">Poeng!$AA$169</definedName>
    <definedName name="LE01_minstd">Poeng!$BD$169</definedName>
    <definedName name="LE01_tot">Poeng!$BQ$169</definedName>
    <definedName name="LE01_user">Poeng!$AH$169</definedName>
    <definedName name="LE02_07">Poeng!$AC$171</definedName>
    <definedName name="LE02_08">Poeng!$AD$171</definedName>
    <definedName name="LE02_credits">Poeng!$AA$171</definedName>
    <definedName name="LE02_minstd">Poeng!$BD$171</definedName>
    <definedName name="LE02_tot">Poeng!$BQ$171</definedName>
    <definedName name="LE02_user">Poeng!$AH$171</definedName>
    <definedName name="LE03_07">Poeng!$AC$175</definedName>
    <definedName name="LE03_cont">Poeng!$AD$175</definedName>
    <definedName name="LE03_credits">Poeng!$AA$175</definedName>
    <definedName name="LE03_minstd">Poeng!$BD$175</definedName>
    <definedName name="LE03_user">Poeng!$AH$175</definedName>
    <definedName name="LE04_13">Poeng!$AC$179</definedName>
    <definedName name="LE04_14">Poeng!$AD$179</definedName>
    <definedName name="LE04_credits">Poeng!$AA$179</definedName>
    <definedName name="LE04_minstd">Poeng!$BD$179</definedName>
    <definedName name="LE04_tot">Poeng!$BQ$179</definedName>
    <definedName name="LE04_user">Poeng!$AH$179</definedName>
    <definedName name="LE05_14">Poeng!$AC$183</definedName>
    <definedName name="LE05_15">Poeng!$AD$183</definedName>
    <definedName name="LE05_credits">Poeng!$AA$183</definedName>
    <definedName name="LE05_minstd">Poeng!$BD$183</definedName>
    <definedName name="LE05_minstdach">Poeng!$BD$183</definedName>
    <definedName name="LE05_tot">Poeng!$BQ$183</definedName>
    <definedName name="LE05_user">Poeng!$AH$183</definedName>
    <definedName name="LE06_07">Poeng!$AC$187</definedName>
    <definedName name="LE06_contr">Poeng!$AD$187</definedName>
    <definedName name="LE06_credits">Poeng!$AA$187</definedName>
    <definedName name="LE06_minstd">Poeng!$BD$187</definedName>
    <definedName name="LE06_tot">Poeng!$BQ$187</definedName>
    <definedName name="LE06_user">Poeng!$AH$187</definedName>
    <definedName name="LE07_07">Poeng!$AC$189</definedName>
    <definedName name="LE07_cont">Poeng!$AD$189</definedName>
    <definedName name="LE07_credits">Poeng!$AA$189</definedName>
    <definedName name="LE07_minstd">Poeng!$BD$189</definedName>
    <definedName name="LE07_user">Poeng!$AH$189</definedName>
    <definedName name="LE08_07">Poeng!$AC$192</definedName>
    <definedName name="LE08_cont">Poeng!$AD$192</definedName>
    <definedName name="LE08_credits">Poeng!$AA$192</definedName>
    <definedName name="LE08_minstd">Poeng!$BD$192</definedName>
    <definedName name="LE08_user">Poeng!$AH$192</definedName>
    <definedName name="Lue_c_user">Poeng!$AJ$197</definedName>
    <definedName name="Lue_d_user">Poeng!$AI$197</definedName>
    <definedName name="Lue_tot_user">Poeng!$AH$197</definedName>
    <definedName name="Man_01">Poeng!$D$10</definedName>
    <definedName name="Man_02">Poeng!$D$16</definedName>
    <definedName name="Man_03">Poeng!$D$19</definedName>
    <definedName name="Man_04">Poeng!$D$26</definedName>
    <definedName name="Man_05">Poeng!$D$30</definedName>
    <definedName name="Man_06">Poeng!$D$34</definedName>
    <definedName name="Man_07">Poeng!$D$35</definedName>
    <definedName name="Man_c_user">Poeng!$AJ$36</definedName>
    <definedName name="Man_cont_tot">Poeng!$AD$36</definedName>
    <definedName name="Man_Credits">Poeng!$AA$36</definedName>
    <definedName name="Man_d_user">Poeng!$AI$36</definedName>
    <definedName name="Man_tot_user">Poeng!$AH$36</definedName>
    <definedName name="Man_Weight">'Summary of Building Performance'!$J$36</definedName>
    <definedName name="Man01_37">Poeng!$BD$10</definedName>
    <definedName name="Man01_38">Poeng!$AC$10</definedName>
    <definedName name="Man01_39">Poeng!$AD$10</definedName>
    <definedName name="Man01_credits">Poeng!$AA$10</definedName>
    <definedName name="Man01_Crit1">Poeng!$D$237</definedName>
    <definedName name="Man01_Crit1_cont">Poeng!$AD$237</definedName>
    <definedName name="Man01_Crit1_credits">Poeng!$AA$237</definedName>
    <definedName name="Man01_Exemp">Poeng!$BR$10</definedName>
    <definedName name="Man01_minstd">Poeng!$BD$237</definedName>
    <definedName name="Man01_Tot">Poeng!$BQ$10</definedName>
    <definedName name="Man01_user">Poeng!$AH$10</definedName>
    <definedName name="Man02_11">Poeng!$AC$16</definedName>
    <definedName name="Man02_12">Poeng!$AD$16</definedName>
    <definedName name="Man02_credits">Poeng!$AA$16</definedName>
    <definedName name="Man02_Exempl">Poeng!$BR$16</definedName>
    <definedName name="Man02_minstd">Poeng!$BD$16</definedName>
    <definedName name="Man02_Tot">Poeng!$BQ$16</definedName>
    <definedName name="Man02_user">Poeng!$AH$16</definedName>
    <definedName name="Man03_12">Poeng!$AC$19</definedName>
    <definedName name="Man03_18">Poeng!$AD$19</definedName>
    <definedName name="Man03_credits">Poeng!$AA$19</definedName>
    <definedName name="Man03_Crit1">Poeng!$D$239</definedName>
    <definedName name="Man03_Crit1_credits">Poeng!$AA$239</definedName>
    <definedName name="Man03_minstd">Poeng!$BD$19</definedName>
    <definedName name="Man03_minstd_cri">Poeng!$BD$239</definedName>
    <definedName name="Man03_Tot">Poeng!$BQ$19</definedName>
    <definedName name="Man03_user">Poeng!$AH$19</definedName>
    <definedName name="Man04_17">Poeng!$AC$26</definedName>
    <definedName name="Man04_cont">Poeng!$AD$26</definedName>
    <definedName name="Man04_credits">Poeng!$AA$26</definedName>
    <definedName name="Man04_Crit1">Poeng!$D$240</definedName>
    <definedName name="Man04_Crit1_credits">Poeng!$AA$240</definedName>
    <definedName name="Man04_minstd">Poeng!$BD$26</definedName>
    <definedName name="Man04_minstd_cri">Poeng!$BD$240</definedName>
    <definedName name="Man04_tot">Poeng!$BQ$26</definedName>
    <definedName name="Man04_user">Poeng!$AH$26</definedName>
    <definedName name="Man05_10">Poeng!$AC$30</definedName>
    <definedName name="Man05_cont">Poeng!$AD$30</definedName>
    <definedName name="Man05_credits">Poeng!$AA$30</definedName>
    <definedName name="Man05_Crit1">Poeng!$D$241</definedName>
    <definedName name="Man05_Crit1_credits">Poeng!$AA$241</definedName>
    <definedName name="Man05_minstd">Poeng!$BD$30</definedName>
    <definedName name="Man05_minstd_cri">Poeng!$BD$241</definedName>
    <definedName name="Man05_tot">Poeng!$BQ$30</definedName>
    <definedName name="Man05_user">Poeng!$AH$30</definedName>
    <definedName name="Man06_cont">Poeng!$AD$34</definedName>
    <definedName name="Man06_credits">Poeng!$AA$34</definedName>
    <definedName name="Man06_minstd">Poeng!$BD$34</definedName>
    <definedName name="Man06_user">Poeng!$AH$34</definedName>
    <definedName name="Man07_cont">Poeng!$AD$35</definedName>
    <definedName name="Man07_credits">Poeng!$AA$35</definedName>
    <definedName name="Man07_minstd">Poeng!$BD$35</definedName>
    <definedName name="Man07_user">Poeng!$AH$35</definedName>
    <definedName name="Mat_01">Poeng!$D$126</definedName>
    <definedName name="Mat_02">Poeng!$D$130</definedName>
    <definedName name="Mat_03">Poeng!$D$134</definedName>
    <definedName name="Mat_05">Poeng!$D$138</definedName>
    <definedName name="Mat_06">Poeng!$D$144</definedName>
    <definedName name="Mat_07">Poeng!$D$148</definedName>
    <definedName name="Mat_c_user">Poeng!$AJ$152</definedName>
    <definedName name="Mat_cont_tot">Poeng!$AD$152</definedName>
    <definedName name="Mat_Credits">Poeng!$AA$152</definedName>
    <definedName name="Mat_d_user">Poeng!$AI$152</definedName>
    <definedName name="Mat_tot_user">Poeng!$AH$152</definedName>
    <definedName name="Mat_Weight">'Summary of Building Performance'!$J$41</definedName>
    <definedName name="Mat01_08">Poeng!$BR$126</definedName>
    <definedName name="Mat01_27">Poeng!$AC$126</definedName>
    <definedName name="Mat01_28">Poeng!$AD$126</definedName>
    <definedName name="Mat01_credits">Poeng!$AA$126</definedName>
    <definedName name="Mat01_Crit1">Poeng!$D$243</definedName>
    <definedName name="Mat01_Crit1_credits">Poeng!$AA$243</definedName>
    <definedName name="Mat01_minstd">Poeng!$BD$243</definedName>
    <definedName name="Mat01_minstd2">Poeng!$BD$126</definedName>
    <definedName name="Mat01_tot">Poeng!$BQ$126</definedName>
    <definedName name="Mat01_user">Poeng!$AH$126</definedName>
    <definedName name="Mat02_37">Poeng!$AC$130</definedName>
    <definedName name="Mat02_cont">Poeng!$AD$130</definedName>
    <definedName name="Mat02_credits">Poeng!$AA$130</definedName>
    <definedName name="Mat02_Crit1">Poeng!$D$236</definedName>
    <definedName name="Mat02_Crit1_cont">Poeng!$AD$236</definedName>
    <definedName name="Mat02_Crit1_credits">Poeng!$AA$236</definedName>
    <definedName name="Mat02_minstd">Poeng!$BD$236</definedName>
    <definedName name="Mat02_minstd2">Poeng!$BD$130</definedName>
    <definedName name="Mat02_user">Poeng!$AH$130</definedName>
    <definedName name="Mat03_35">Poeng!$BR$134</definedName>
    <definedName name="Mat03_36">Poeng!$BD$134</definedName>
    <definedName name="Mat03_37">Poeng!$AC$134</definedName>
    <definedName name="Mat03_38">Poeng!$AD$134</definedName>
    <definedName name="Mat03_credits">Poeng!$AA$134</definedName>
    <definedName name="Mat03_Crit1">Poeng!$D$251</definedName>
    <definedName name="Mat03_Crit1_cont">Poeng!$AD$251</definedName>
    <definedName name="Mat03_Crit1_credits">Poeng!$AA$251</definedName>
    <definedName name="Mat03_minstd">Poeng!$BD$251</definedName>
    <definedName name="Mat03_tot">Poeng!$BQ$134</definedName>
    <definedName name="Mat03_user">Poeng!$AH$134</definedName>
    <definedName name="Mat05_05">Poeng!$AC$138</definedName>
    <definedName name="Mat05_06">Poeng!$AD$138</definedName>
    <definedName name="Mat05_credits">Poeng!$AA$138</definedName>
    <definedName name="Mat05_minstd">Poeng!$BD$138</definedName>
    <definedName name="Mat05_tot">Poeng!$BQ$138</definedName>
    <definedName name="Mat05_user">Poeng!$AH$138</definedName>
    <definedName name="Mat06_05">Poeng!$AC$144</definedName>
    <definedName name="Mat06_cont">Poeng!$AD$144</definedName>
    <definedName name="Mat06_credits">Poeng!$AA$144</definedName>
    <definedName name="Mat06_Crit1">Poeng!$D$244</definedName>
    <definedName name="Mat06_Crit1_credits">Poeng!$AA$244</definedName>
    <definedName name="Mat06_minstd">Poeng!$BD$144</definedName>
    <definedName name="Mat06_minstd_cred">Poeng!$BD$244</definedName>
    <definedName name="Mat06_user">Poeng!$AH$144</definedName>
    <definedName name="Mat07_05">Poeng!$AC$148</definedName>
    <definedName name="Mat07_cont">Poeng!$AD$148</definedName>
    <definedName name="Mat07_credits">Poeng!$AA$148</definedName>
    <definedName name="Mat07_Crit1">Poeng!$D$246</definedName>
    <definedName name="Mat07_Crit1_credits">Poeng!$AA$246</definedName>
    <definedName name="Mat07_minstd">Poeng!$BD$148</definedName>
    <definedName name="Mat07_minstd_cred">Poeng!$BD$246</definedName>
    <definedName name="Mat07_user">Poeng!$AH$148</definedName>
    <definedName name="Note_minstand">Poeng!$BD$265</definedName>
    <definedName name="Note_minstand_const">Poeng!$BJ$265</definedName>
    <definedName name="Note_minstand_design">Poeng!$BG$265</definedName>
    <definedName name="Poeng_bort">Poeng!$Z$256</definedName>
    <definedName name="Poeng_tilgj">Poeng!$AA$256</definedName>
    <definedName name="Poeng_tot">Poeng!$S$256</definedName>
    <definedName name="Pol_01">Poeng!$D$200</definedName>
    <definedName name="Pol_02">Poeng!$D$204</definedName>
    <definedName name="Pol_03">Poeng!$D$207</definedName>
    <definedName name="Pol_04">Poeng!$D$208</definedName>
    <definedName name="Pol_05">Poeng!$D$211</definedName>
    <definedName name="Pol_c_user">Poeng!$AJ$214</definedName>
    <definedName name="Pol_cont_tot">Poeng!$AD$214</definedName>
    <definedName name="Pol_Credits">Poeng!$AA$214</definedName>
    <definedName name="Pol_d_user">Poeng!$AI$214</definedName>
    <definedName name="Pol_tot_user">Poeng!$AH$214</definedName>
    <definedName name="Pol_Weight">'Summary of Building Performance'!$J$44</definedName>
    <definedName name="Pol01_19">Poeng!$AC$200</definedName>
    <definedName name="Pol01_20">Poeng!$AD$200</definedName>
    <definedName name="Pol01_credits">Poeng!$AA$200</definedName>
    <definedName name="Pol01_minstd">Poeng!$BD$200</definedName>
    <definedName name="Pol01_tot">Poeng!$BQ$200</definedName>
    <definedName name="Pol01_user">Poeng!$AH$200</definedName>
    <definedName name="Pol02_26">Poeng!$AC$204</definedName>
    <definedName name="Pol02_27">Poeng!$AD$204</definedName>
    <definedName name="Pol02_credits">Poeng!$AA$204</definedName>
    <definedName name="Pol02_minstd">Poeng!$BD$204</definedName>
    <definedName name="Pol02_tot">Poeng!$BQ$204</definedName>
    <definedName name="Pol02_user">Poeng!$AH$204</definedName>
    <definedName name="Pol03_14">Poeng!$AC$207</definedName>
    <definedName name="Pol03_15">Poeng!$AD$207</definedName>
    <definedName name="Pol03_credits">Poeng!$AA$207</definedName>
    <definedName name="Pol03_minstd">Poeng!$BD$207</definedName>
    <definedName name="Pol03_tot">Poeng!$BQ$207</definedName>
    <definedName name="Pol03_user">Poeng!$AH$207</definedName>
    <definedName name="Pol04_05">Poeng!$AC$208</definedName>
    <definedName name="Pol04_06">Poeng!$AD$208</definedName>
    <definedName name="Pol04_credits">Poeng!$AA$208</definedName>
    <definedName name="Pol04_minstd">Poeng!$BD$208</definedName>
    <definedName name="Pol04_tot">Poeng!$BQ$208</definedName>
    <definedName name="Pol04_user">Poeng!$AH$208</definedName>
    <definedName name="Pol05_10">Poeng!$AC$211</definedName>
    <definedName name="Pol05_11">Poeng!$AD$211</definedName>
    <definedName name="Pol05_credits">Poeng!$AA$211</definedName>
    <definedName name="Pol05_minstd">Poeng!$BD$211</definedName>
    <definedName name="Pol05_tot">Poeng!$BQ$211</definedName>
    <definedName name="Pol05_user">Poeng!$AH$211</definedName>
    <definedName name="_xlnm.Print_Area" localSheetId="1">'Assessment Details'!$B$2:$F$54</definedName>
    <definedName name="_xlnm.Print_Area" localSheetId="0">Instructions!$B$2:$P$19</definedName>
    <definedName name="_xlnm.Print_Area" localSheetId="7">'PAE available for copy'!$D$1:$AA$221</definedName>
    <definedName name="_xlnm.Print_Area" localSheetId="2">'Pre-Assessment Estimator'!$E$1:$AB$224</definedName>
    <definedName name="_xlnm.Print_Area" localSheetId="6">'Summary of Building Performance'!$B$2:$O$49</definedName>
    <definedName name="_xlnm.Print_Area" localSheetId="8">'Version Control'!$B$2:$P$22</definedName>
    <definedName name="_xlnm.Print_Titles" localSheetId="7">'PAE available for copy'!$9:$9</definedName>
    <definedName name="_xlnm.Print_Titles" localSheetId="2">'Pre-Assessment Estimator'!$9:$9</definedName>
    <definedName name="projecttype">'Assessment Details'!$P$98</definedName>
    <definedName name="Score_const">'Summary of Building Performance'!$M$46</definedName>
    <definedName name="Score_design">'Summary of Building Performance'!$L$46</definedName>
    <definedName name="Score_Initial">'Summary of Building Performance'!$K$46</definedName>
    <definedName name="status">'Assessment Details'!$O$45:$O$48</definedName>
    <definedName name="Tra_01">Poeng!$D$100</definedName>
    <definedName name="Tra_02">Poeng!$D$103</definedName>
    <definedName name="Tra_03">Poeng!$D$106</definedName>
    <definedName name="Tra_04">Poeng!$D$107</definedName>
    <definedName name="Tra_05">Poeng!$D$108</definedName>
    <definedName name="Tra_06">Poeng!$D$109</definedName>
    <definedName name="Tra_c_user">Poeng!$AJ$110</definedName>
    <definedName name="Tra_cont_tot">Poeng!$AD$110</definedName>
    <definedName name="Tra_Credits">Poeng!$AA$110</definedName>
    <definedName name="Tra_d_user">Poeng!$AI$110</definedName>
    <definedName name="Tra_tot_user">Poeng!$AH$110</definedName>
    <definedName name="Tra_Weight">'Summary of Building Performance'!$J$39</definedName>
    <definedName name="Tra01_07">Poeng!$AC$100</definedName>
    <definedName name="TRa01_08">Poeng!$AD$100</definedName>
    <definedName name="TRA01_BuildType">'Assessment Details'!$O$24:$O$30</definedName>
    <definedName name="Tra01_credits">Poeng!$AA$100</definedName>
    <definedName name="Tra01_Crit1">Poeng!$D$242</definedName>
    <definedName name="Tra01_Crit1_credits">Poeng!$AA$242</definedName>
    <definedName name="Tra01_minstd">Poeng!$BD$242</definedName>
    <definedName name="Tra01_tot">Poeng!$BQ$100</definedName>
    <definedName name="Tra01_type7">'Assessment Details'!$O$30</definedName>
    <definedName name="Tra01_user">Poeng!$AH$100</definedName>
    <definedName name="Tra02_06">Poeng!$AC$103</definedName>
    <definedName name="Tra02_07">Poeng!$AD$103</definedName>
    <definedName name="Tra02_credits">Poeng!$AA$103</definedName>
    <definedName name="Tra02_minstd">Poeng!$BD$103</definedName>
    <definedName name="Tra02_tot">Poeng!$BQ$103</definedName>
    <definedName name="Tra02_user">Poeng!$AH$103</definedName>
    <definedName name="Tra03_02">'Assessment Details'!$P$64:$P$64</definedName>
    <definedName name="Tra03_13">Poeng!$AC$106</definedName>
    <definedName name="Tra03_14">Poeng!$AD$106</definedName>
    <definedName name="Tra03_credits">Poeng!$AA$106</definedName>
    <definedName name="Tra03_minstd">Poeng!$BD$106</definedName>
    <definedName name="Tra03_tot">Poeng!$BQ$106</definedName>
    <definedName name="Tra03_user">Poeng!$AH$106</definedName>
    <definedName name="Tra04_09">Poeng!$AC$107</definedName>
    <definedName name="Tra04_10">Poeng!$AD$107</definedName>
    <definedName name="Tra04_credits">Poeng!$AA$107</definedName>
    <definedName name="Tra04_minstd">Poeng!$BD$107</definedName>
    <definedName name="Tra04_tot">Poeng!$BQ$107</definedName>
    <definedName name="Tra04_user">Poeng!$AH$107</definedName>
    <definedName name="Tra05_04">Poeng!$AC$108</definedName>
    <definedName name="Tra05_05">Poeng!$AD$108</definedName>
    <definedName name="Tra05_credits">Poeng!$AA$108</definedName>
    <definedName name="Tra05_minstd">Poeng!$BD$108</definedName>
    <definedName name="Tra05_tot">Poeng!$BQ$108</definedName>
    <definedName name="Tra05_user">Poeng!$AH$108</definedName>
    <definedName name="Tra06_04">Poeng!$AC$109</definedName>
    <definedName name="Tra06_05">Poeng!$AD$109</definedName>
    <definedName name="Tra06_credits">Poeng!$AA$109</definedName>
    <definedName name="Tra06_minstd">Poeng!$BD$109</definedName>
    <definedName name="Tra06_user">Poeng!$AH$109</definedName>
    <definedName name="TVC_current_date">'Version Control'!$C$5</definedName>
    <definedName name="TVC_current_version">'Version Control'!$B$5</definedName>
    <definedName name="Wat__Credits">Poeng!$AA$123</definedName>
    <definedName name="Wat_01">Poeng!$D$113</definedName>
    <definedName name="Wat_02">Poeng!$D$115</definedName>
    <definedName name="Wat_03">Poeng!$D$117</definedName>
    <definedName name="Wat_04">Poeng!$D$121</definedName>
    <definedName name="Wat_c_user">Poeng!$AJ$123</definedName>
    <definedName name="Wat_cont_tot">Poeng!$AD$123</definedName>
    <definedName name="Wat_Credits">Poeng!$AA$123</definedName>
    <definedName name="Wat_d_user">Poeng!$AI$123</definedName>
    <definedName name="Wat_tot_user">Poeng!$AH$123</definedName>
    <definedName name="Wat_Weight">'Summary of Building Performance'!$J$40</definedName>
    <definedName name="Wat01_08">Poeng!$BR$113</definedName>
    <definedName name="Wat01_09">Poeng!$BD$113</definedName>
    <definedName name="Wat01_14">Poeng!$AC$113</definedName>
    <definedName name="Wat01_15">Poeng!$AD$113</definedName>
    <definedName name="Wat01_credits">Poeng!$AA$113</definedName>
    <definedName name="Wat01_minstd">Poeng!$BD$113</definedName>
    <definedName name="Wat01_tot">Poeng!$BQ$113</definedName>
    <definedName name="Wat01_user">Poeng!$AH$113</definedName>
    <definedName name="Wat02_10">Poeng!$BR$115</definedName>
    <definedName name="Wat02_11">Poeng!$BD$115</definedName>
    <definedName name="Wat02_12">Poeng!$AC$115</definedName>
    <definedName name="Wat02_13">Poeng!$AD$115</definedName>
    <definedName name="Wat02_credits">Poeng!$AA$115</definedName>
    <definedName name="Wat02_tot">Poeng!$BQ$115</definedName>
    <definedName name="Wat02_user">Poeng!$AH$115</definedName>
    <definedName name="Wat03_09">Poeng!$AC$117</definedName>
    <definedName name="Wat03_10">Poeng!$AD$117</definedName>
    <definedName name="Wat03_credits">Poeng!$AA$117</definedName>
    <definedName name="Wat03_minstd">Poeng!$BD$117</definedName>
    <definedName name="Wat03_tot">Poeng!$BQ$117</definedName>
    <definedName name="Wat03_user">Poeng!$AH$117</definedName>
    <definedName name="Wat04_05">Poeng!$AC$121</definedName>
    <definedName name="Wat04_06">Poeng!$AD$121</definedName>
    <definedName name="Wat04_credits">Poeng!$AA$121</definedName>
    <definedName name="Wat04_minstd">Poeng!$BD$121</definedName>
    <definedName name="Wat04_tot">Poeng!$BQ$121</definedName>
    <definedName name="Wat04_user">Poeng!$AH$121</definedName>
    <definedName name="Wst_01">Poeng!$D$155</definedName>
    <definedName name="Wst_02">Poeng!$D$159</definedName>
    <definedName name="Wst_03">Poeng!$D$160</definedName>
    <definedName name="Wst_04">Poeng!$D$164</definedName>
    <definedName name="Wst_c_user">Poeng!$AJ$166</definedName>
    <definedName name="Wst_cont_tot">Poeng!$AD$166</definedName>
    <definedName name="Wst_Credits">Poeng!$AA$166</definedName>
    <definedName name="Wst_d_user">Poeng!$AI$166</definedName>
    <definedName name="Wst_tot_user">Poeng!$AH$166</definedName>
    <definedName name="Wst_Weight">'Summary of Building Performance'!$J$42</definedName>
    <definedName name="Wst01_17">Poeng!$BR$155</definedName>
    <definedName name="Wst01_18">Poeng!$BD$155</definedName>
    <definedName name="Wst01_27">Poeng!$AC$155</definedName>
    <definedName name="Wst01_28">Poeng!$AD$155</definedName>
    <definedName name="Wst01_credits">Poeng!$AA$155</definedName>
    <definedName name="Wst01_Crit1">Poeng!$D$247</definedName>
    <definedName name="Wst01_Crit1_credits">Poeng!$AA$247</definedName>
    <definedName name="Wst01_minstd">Poeng!$BD$247</definedName>
    <definedName name="Wst01_tot">Poeng!$BQ$155</definedName>
    <definedName name="Wst01_user">Poeng!$AH$155</definedName>
    <definedName name="Wst02_11">Poeng!$BR$159</definedName>
    <definedName name="Wst02_14">Poeng!$AC$159</definedName>
    <definedName name="Wst02_15">Poeng!$AD$159</definedName>
    <definedName name="Wst02_credits">Poeng!$AA$159</definedName>
    <definedName name="Wst02_minstd">Poeng!$BD$159</definedName>
    <definedName name="Wst02_tot">Poeng!$BQ$159</definedName>
    <definedName name="Wst02_user">Poeng!$AH$159</definedName>
    <definedName name="Wst03_09">Poeng!$BR$160</definedName>
    <definedName name="Wst03_10">Poeng!$BD$160</definedName>
    <definedName name="Wst03_12">Poeng!$AC$160</definedName>
    <definedName name="Wst03_13">Poeng!$AD$160</definedName>
    <definedName name="Wst03_credits">Poeng!$AA$160</definedName>
    <definedName name="Wst03_tot">Poeng!$BQ$160</definedName>
    <definedName name="Wst03_user">Poeng!$AH$160</definedName>
    <definedName name="Wst04_08">Poeng!$AC$164</definedName>
    <definedName name="Wst04_09">Poeng!$AD$164</definedName>
    <definedName name="Wst04_credits">Poeng!$AA$164</definedName>
    <definedName name="Wst04_minstd">Poeng!$BD$164</definedName>
    <definedName name="Wst04_tot">Poeng!$BQ$164</definedName>
    <definedName name="Wst04_user">Poeng!$AH$164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49" i="13" l="1"/>
  <c r="U92" i="13"/>
  <c r="U91" i="13"/>
  <c r="U90" i="13" s="1"/>
  <c r="Y70" i="21" l="1"/>
  <c r="X70" i="21"/>
  <c r="W70" i="21"/>
  <c r="T70" i="21"/>
  <c r="R70" i="21"/>
  <c r="Q70" i="21"/>
  <c r="P70" i="21"/>
  <c r="M70" i="21"/>
  <c r="K70" i="21"/>
  <c r="J70" i="21"/>
  <c r="I70" i="21"/>
  <c r="F70" i="21"/>
  <c r="D70" i="21"/>
  <c r="D203" i="21"/>
  <c r="F203" i="21"/>
  <c r="I203" i="21"/>
  <c r="J203" i="21"/>
  <c r="K203" i="21"/>
  <c r="M203" i="21"/>
  <c r="P203" i="21"/>
  <c r="Q203" i="21"/>
  <c r="R203" i="21"/>
  <c r="T203" i="21"/>
  <c r="W203" i="21"/>
  <c r="X203" i="21"/>
  <c r="Y203" i="21"/>
  <c r="D204" i="21"/>
  <c r="F204" i="21"/>
  <c r="I204" i="21"/>
  <c r="J204" i="21"/>
  <c r="K204" i="21"/>
  <c r="M204" i="21"/>
  <c r="P204" i="21"/>
  <c r="Q204" i="21"/>
  <c r="R204" i="21"/>
  <c r="T204" i="21"/>
  <c r="W204" i="21"/>
  <c r="X204" i="21"/>
  <c r="Y204" i="21"/>
  <c r="D205" i="21"/>
  <c r="F205" i="21"/>
  <c r="I205" i="21"/>
  <c r="J205" i="21"/>
  <c r="K205" i="21"/>
  <c r="M205" i="21"/>
  <c r="P205" i="21"/>
  <c r="Q205" i="21"/>
  <c r="R205" i="21"/>
  <c r="T205" i="21"/>
  <c r="W205" i="21"/>
  <c r="X205" i="21"/>
  <c r="Y205" i="21"/>
  <c r="D206" i="21"/>
  <c r="F206" i="21"/>
  <c r="I206" i="21"/>
  <c r="J206" i="21"/>
  <c r="K206" i="21"/>
  <c r="M206" i="21"/>
  <c r="P206" i="21"/>
  <c r="Q206" i="21"/>
  <c r="R206" i="21"/>
  <c r="T206" i="21"/>
  <c r="W206" i="21"/>
  <c r="X206" i="21"/>
  <c r="Y206" i="21"/>
  <c r="D207" i="21"/>
  <c r="F207" i="21"/>
  <c r="I207" i="21"/>
  <c r="J207" i="21"/>
  <c r="K207" i="21"/>
  <c r="M207" i="21"/>
  <c r="P207" i="21"/>
  <c r="Q207" i="21"/>
  <c r="R207" i="21"/>
  <c r="T207" i="21"/>
  <c r="W207" i="21"/>
  <c r="X207" i="21"/>
  <c r="Y207" i="21"/>
  <c r="D182" i="21"/>
  <c r="F182" i="21"/>
  <c r="I182" i="21"/>
  <c r="J182" i="21"/>
  <c r="K182" i="21"/>
  <c r="M182" i="21"/>
  <c r="P182" i="21"/>
  <c r="Q182" i="21"/>
  <c r="R182" i="21"/>
  <c r="T182" i="21"/>
  <c r="W182" i="21"/>
  <c r="X182" i="21"/>
  <c r="Y182" i="21"/>
  <c r="D183" i="21"/>
  <c r="F183" i="21"/>
  <c r="I183" i="21"/>
  <c r="J183" i="21"/>
  <c r="K183" i="21"/>
  <c r="M183" i="21"/>
  <c r="P183" i="21"/>
  <c r="Q183" i="21"/>
  <c r="R183" i="21"/>
  <c r="T183" i="21"/>
  <c r="W183" i="21"/>
  <c r="X183" i="21"/>
  <c r="Y183" i="21"/>
  <c r="D184" i="21"/>
  <c r="F184" i="21"/>
  <c r="I184" i="21"/>
  <c r="J184" i="21"/>
  <c r="K184" i="21"/>
  <c r="M184" i="21"/>
  <c r="P184" i="21"/>
  <c r="Q184" i="21"/>
  <c r="R184" i="21"/>
  <c r="T184" i="21"/>
  <c r="W184" i="21"/>
  <c r="X184" i="21"/>
  <c r="Y184" i="21"/>
  <c r="D185" i="21"/>
  <c r="F185" i="21"/>
  <c r="I185" i="21"/>
  <c r="J185" i="21"/>
  <c r="K185" i="21"/>
  <c r="M185" i="21"/>
  <c r="P185" i="21"/>
  <c r="Q185" i="21"/>
  <c r="R185" i="21"/>
  <c r="T185" i="21"/>
  <c r="W185" i="21"/>
  <c r="X185" i="21"/>
  <c r="Y185" i="21"/>
  <c r="D186" i="21"/>
  <c r="F186" i="21"/>
  <c r="I186" i="21"/>
  <c r="J186" i="21"/>
  <c r="K186" i="21"/>
  <c r="M186" i="21"/>
  <c r="P186" i="21"/>
  <c r="Q186" i="21"/>
  <c r="R186" i="21"/>
  <c r="T186" i="21"/>
  <c r="W186" i="21"/>
  <c r="X186" i="21"/>
  <c r="Y186" i="21"/>
  <c r="D187" i="21"/>
  <c r="F187" i="21"/>
  <c r="I187" i="21"/>
  <c r="J187" i="21"/>
  <c r="K187" i="21"/>
  <c r="M187" i="21"/>
  <c r="P187" i="21"/>
  <c r="Q187" i="21"/>
  <c r="R187" i="21"/>
  <c r="T187" i="21"/>
  <c r="W187" i="21"/>
  <c r="X187" i="21"/>
  <c r="Y187" i="21"/>
  <c r="D188" i="21"/>
  <c r="F188" i="21"/>
  <c r="I188" i="21"/>
  <c r="J188" i="21"/>
  <c r="K188" i="21"/>
  <c r="M188" i="21"/>
  <c r="P188" i="21"/>
  <c r="Q188" i="21"/>
  <c r="R188" i="21"/>
  <c r="T188" i="21"/>
  <c r="W188" i="21"/>
  <c r="X188" i="21"/>
  <c r="Y188" i="21"/>
  <c r="D189" i="21"/>
  <c r="F189" i="21"/>
  <c r="I189" i="21"/>
  <c r="J189" i="21"/>
  <c r="K189" i="21"/>
  <c r="M189" i="21"/>
  <c r="P189" i="21"/>
  <c r="Q189" i="21"/>
  <c r="R189" i="21"/>
  <c r="T189" i="21"/>
  <c r="W189" i="21"/>
  <c r="X189" i="21"/>
  <c r="Y189" i="21"/>
  <c r="D190" i="21"/>
  <c r="F190" i="21"/>
  <c r="I190" i="21"/>
  <c r="J190" i="21"/>
  <c r="K190" i="21"/>
  <c r="M190" i="21"/>
  <c r="P190" i="21"/>
  <c r="Q190" i="21"/>
  <c r="R190" i="21"/>
  <c r="T190" i="21"/>
  <c r="W190" i="21"/>
  <c r="X190" i="21"/>
  <c r="Y190" i="21"/>
  <c r="D150" i="21"/>
  <c r="F150" i="21"/>
  <c r="I150" i="21"/>
  <c r="J150" i="21"/>
  <c r="K150" i="21"/>
  <c r="M150" i="21"/>
  <c r="P150" i="21"/>
  <c r="Q150" i="21"/>
  <c r="R150" i="21"/>
  <c r="T150" i="21"/>
  <c r="W150" i="21"/>
  <c r="X150" i="21"/>
  <c r="Y150" i="21"/>
  <c r="D151" i="21"/>
  <c r="F151" i="21"/>
  <c r="I151" i="21"/>
  <c r="J151" i="21"/>
  <c r="K151" i="21"/>
  <c r="M151" i="21"/>
  <c r="P151" i="21"/>
  <c r="Q151" i="21"/>
  <c r="R151" i="21"/>
  <c r="T151" i="21"/>
  <c r="W151" i="21"/>
  <c r="X151" i="21"/>
  <c r="Y151" i="21"/>
  <c r="D152" i="21"/>
  <c r="F152" i="21"/>
  <c r="I152" i="21"/>
  <c r="J152" i="21"/>
  <c r="K152" i="21"/>
  <c r="M152" i="21"/>
  <c r="P152" i="21"/>
  <c r="Q152" i="21"/>
  <c r="R152" i="21"/>
  <c r="T152" i="21"/>
  <c r="W152" i="21"/>
  <c r="X152" i="21"/>
  <c r="Y152" i="21"/>
  <c r="D153" i="21"/>
  <c r="F153" i="21"/>
  <c r="I153" i="21"/>
  <c r="J153" i="21"/>
  <c r="K153" i="21"/>
  <c r="M153" i="21"/>
  <c r="P153" i="21"/>
  <c r="Q153" i="21"/>
  <c r="R153" i="21"/>
  <c r="T153" i="21"/>
  <c r="W153" i="21"/>
  <c r="X153" i="21"/>
  <c r="Y153" i="21"/>
  <c r="D154" i="21"/>
  <c r="F154" i="21"/>
  <c r="I154" i="21"/>
  <c r="J154" i="21"/>
  <c r="K154" i="21"/>
  <c r="M154" i="21"/>
  <c r="P154" i="21"/>
  <c r="Q154" i="21"/>
  <c r="R154" i="21"/>
  <c r="T154" i="21"/>
  <c r="W154" i="21"/>
  <c r="X154" i="21"/>
  <c r="Y154" i="21"/>
  <c r="D155" i="21"/>
  <c r="F155" i="21"/>
  <c r="I155" i="21"/>
  <c r="J155" i="21"/>
  <c r="K155" i="21"/>
  <c r="M155" i="21"/>
  <c r="P155" i="21"/>
  <c r="Q155" i="21"/>
  <c r="R155" i="21"/>
  <c r="T155" i="21"/>
  <c r="W155" i="21"/>
  <c r="X155" i="21"/>
  <c r="Y155" i="21"/>
  <c r="D156" i="21"/>
  <c r="F156" i="21"/>
  <c r="I156" i="21"/>
  <c r="J156" i="21"/>
  <c r="K156" i="21"/>
  <c r="M156" i="21"/>
  <c r="P156" i="21"/>
  <c r="Q156" i="21"/>
  <c r="R156" i="21"/>
  <c r="T156" i="21"/>
  <c r="W156" i="21"/>
  <c r="X156" i="21"/>
  <c r="Y156" i="21"/>
  <c r="D157" i="21"/>
  <c r="F157" i="21"/>
  <c r="I157" i="21"/>
  <c r="J157" i="21"/>
  <c r="K157" i="21"/>
  <c r="M157" i="21"/>
  <c r="P157" i="21"/>
  <c r="Q157" i="21"/>
  <c r="R157" i="21"/>
  <c r="T157" i="21"/>
  <c r="W157" i="21"/>
  <c r="X157" i="21"/>
  <c r="Y157" i="21"/>
  <c r="D158" i="21"/>
  <c r="F158" i="21"/>
  <c r="I158" i="21"/>
  <c r="J158" i="21"/>
  <c r="K158" i="21"/>
  <c r="M158" i="21"/>
  <c r="P158" i="21"/>
  <c r="Q158" i="21"/>
  <c r="R158" i="21"/>
  <c r="T158" i="21"/>
  <c r="W158" i="21"/>
  <c r="X158" i="21"/>
  <c r="Y158" i="21"/>
  <c r="D159" i="21"/>
  <c r="F159" i="21"/>
  <c r="I159" i="21"/>
  <c r="J159" i="21"/>
  <c r="K159" i="21"/>
  <c r="M159" i="21"/>
  <c r="P159" i="21"/>
  <c r="Q159" i="21"/>
  <c r="R159" i="21"/>
  <c r="T159" i="21"/>
  <c r="W159" i="21"/>
  <c r="X159" i="21"/>
  <c r="Y159" i="21"/>
  <c r="D142" i="21"/>
  <c r="F142" i="21"/>
  <c r="I142" i="21"/>
  <c r="J142" i="21"/>
  <c r="K142" i="21"/>
  <c r="M142" i="21"/>
  <c r="P142" i="21"/>
  <c r="Q142" i="21"/>
  <c r="R142" i="21"/>
  <c r="T142" i="21"/>
  <c r="W142" i="21"/>
  <c r="X142" i="21"/>
  <c r="Y142" i="21"/>
  <c r="D143" i="21"/>
  <c r="F143" i="21"/>
  <c r="I143" i="21"/>
  <c r="J143" i="21"/>
  <c r="K143" i="21"/>
  <c r="M143" i="21"/>
  <c r="P143" i="21"/>
  <c r="Q143" i="21"/>
  <c r="R143" i="21"/>
  <c r="T143" i="21"/>
  <c r="W143" i="21"/>
  <c r="X143" i="21"/>
  <c r="Y143" i="21"/>
  <c r="D144" i="21"/>
  <c r="F144" i="21"/>
  <c r="I144" i="21"/>
  <c r="J144" i="21"/>
  <c r="K144" i="21"/>
  <c r="M144" i="21"/>
  <c r="P144" i="21"/>
  <c r="Q144" i="21"/>
  <c r="R144" i="21"/>
  <c r="T144" i="21"/>
  <c r="W144" i="21"/>
  <c r="X144" i="21"/>
  <c r="Y144" i="21"/>
  <c r="D113" i="21"/>
  <c r="F113" i="21"/>
  <c r="I113" i="21"/>
  <c r="J113" i="21"/>
  <c r="K113" i="21"/>
  <c r="M113" i="21"/>
  <c r="P113" i="21"/>
  <c r="Q113" i="21"/>
  <c r="R113" i="21"/>
  <c r="T113" i="21"/>
  <c r="W113" i="21"/>
  <c r="X113" i="21"/>
  <c r="Y113" i="21"/>
  <c r="D114" i="21"/>
  <c r="F114" i="21"/>
  <c r="I114" i="21"/>
  <c r="J114" i="21"/>
  <c r="K114" i="21"/>
  <c r="M114" i="21"/>
  <c r="P114" i="21"/>
  <c r="Q114" i="21"/>
  <c r="R114" i="21"/>
  <c r="T114" i="21"/>
  <c r="W114" i="21"/>
  <c r="X114" i="21"/>
  <c r="Y114" i="21"/>
  <c r="AF116" i="21"/>
  <c r="AH116" i="21"/>
  <c r="AA116" i="21"/>
  <c r="AE116" i="21"/>
  <c r="AG116" i="21"/>
  <c r="D221" i="21"/>
  <c r="F221" i="21"/>
  <c r="I221" i="21"/>
  <c r="J221" i="21"/>
  <c r="K221" i="21"/>
  <c r="M221" i="21"/>
  <c r="P221" i="21"/>
  <c r="Q221" i="21"/>
  <c r="R221" i="21"/>
  <c r="T221" i="21"/>
  <c r="W221" i="21"/>
  <c r="X221" i="21"/>
  <c r="Y221" i="21"/>
  <c r="D222" i="21"/>
  <c r="F222" i="21"/>
  <c r="I222" i="21"/>
  <c r="J222" i="21"/>
  <c r="K222" i="21"/>
  <c r="M222" i="21"/>
  <c r="P222" i="21"/>
  <c r="Q222" i="21"/>
  <c r="R222" i="21"/>
  <c r="T222" i="21"/>
  <c r="W222" i="21"/>
  <c r="X222" i="21"/>
  <c r="Y222" i="21"/>
  <c r="D223" i="21"/>
  <c r="F223" i="21"/>
  <c r="I223" i="21"/>
  <c r="J223" i="21"/>
  <c r="K223" i="21"/>
  <c r="M223" i="21"/>
  <c r="P223" i="21"/>
  <c r="Q223" i="21"/>
  <c r="R223" i="21"/>
  <c r="T223" i="21"/>
  <c r="W223" i="21"/>
  <c r="X223" i="21"/>
  <c r="Y223" i="21"/>
  <c r="D224" i="21"/>
  <c r="F224" i="21"/>
  <c r="I224" i="21"/>
  <c r="J224" i="21"/>
  <c r="K224" i="21"/>
  <c r="M224" i="21"/>
  <c r="P224" i="21"/>
  <c r="Q224" i="21"/>
  <c r="R224" i="21"/>
  <c r="T224" i="21"/>
  <c r="W224" i="21"/>
  <c r="X224" i="21"/>
  <c r="Y224" i="21"/>
  <c r="BS249" i="13" l="1"/>
  <c r="BR249" i="13"/>
  <c r="BQ249" i="13"/>
  <c r="AF136" i="5" l="1"/>
  <c r="AE136" i="5"/>
  <c r="AD136" i="5"/>
  <c r="C136" i="5"/>
  <c r="C137" i="5"/>
  <c r="BO158" i="13"/>
  <c r="BO156" i="13"/>
  <c r="BO114" i="13"/>
  <c r="BP254" i="13"/>
  <c r="BP253" i="13"/>
  <c r="BP252" i="13"/>
  <c r="AF148" i="5"/>
  <c r="AE148" i="5"/>
  <c r="AD148" i="5"/>
  <c r="AF104" i="5"/>
  <c r="AE104" i="5"/>
  <c r="AD104" i="5"/>
  <c r="C148" i="5"/>
  <c r="C149" i="5"/>
  <c r="AF69" i="5"/>
  <c r="AE69" i="5"/>
  <c r="AD69" i="5"/>
  <c r="C104" i="5"/>
  <c r="C105" i="5"/>
  <c r="BP250" i="13"/>
  <c r="V205" i="13" l="1"/>
  <c r="T205" i="13"/>
  <c r="T94" i="13"/>
  <c r="T93" i="13" s="1"/>
  <c r="AE36" i="21"/>
  <c r="AE37" i="21"/>
  <c r="AE63" i="21"/>
  <c r="AE64" i="21"/>
  <c r="AE92" i="21"/>
  <c r="AE93" i="21"/>
  <c r="AE101" i="21"/>
  <c r="AE102" i="21"/>
  <c r="AE115" i="21"/>
  <c r="Y220" i="21"/>
  <c r="X220" i="21"/>
  <c r="AH220" i="21" s="1"/>
  <c r="W220" i="21"/>
  <c r="T220" i="21"/>
  <c r="R220" i="21"/>
  <c r="Q220" i="21"/>
  <c r="AG220" i="21" s="1"/>
  <c r="P220" i="21"/>
  <c r="M220" i="21"/>
  <c r="K220" i="21"/>
  <c r="J220" i="21"/>
  <c r="AF220" i="21" s="1"/>
  <c r="I220" i="21"/>
  <c r="F220" i="21"/>
  <c r="Y219" i="21"/>
  <c r="X219" i="21"/>
  <c r="AH219" i="21" s="1"/>
  <c r="W219" i="21"/>
  <c r="T219" i="21"/>
  <c r="R219" i="21"/>
  <c r="Q219" i="21"/>
  <c r="AG219" i="21" s="1"/>
  <c r="P219" i="21"/>
  <c r="M219" i="21"/>
  <c r="K219" i="21"/>
  <c r="J219" i="21"/>
  <c r="AF219" i="21" s="1"/>
  <c r="I219" i="21"/>
  <c r="F219" i="21"/>
  <c r="Y218" i="21"/>
  <c r="X218" i="21"/>
  <c r="AH218" i="21" s="1"/>
  <c r="W218" i="21"/>
  <c r="T218" i="21"/>
  <c r="R218" i="21"/>
  <c r="Q218" i="21"/>
  <c r="AG218" i="21" s="1"/>
  <c r="P218" i="21"/>
  <c r="M218" i="21"/>
  <c r="K218" i="21"/>
  <c r="J218" i="21"/>
  <c r="AF218" i="21" s="1"/>
  <c r="I218" i="21"/>
  <c r="F218" i="21"/>
  <c r="Y217" i="21"/>
  <c r="X217" i="21"/>
  <c r="AH217" i="21" s="1"/>
  <c r="W217" i="21"/>
  <c r="T217" i="21"/>
  <c r="R217" i="21"/>
  <c r="Q217" i="21"/>
  <c r="AG217" i="21" s="1"/>
  <c r="P217" i="21"/>
  <c r="M217" i="21"/>
  <c r="K217" i="21"/>
  <c r="J217" i="21"/>
  <c r="AF217" i="21" s="1"/>
  <c r="I217" i="21"/>
  <c r="F217" i="21"/>
  <c r="Y216" i="21"/>
  <c r="X216" i="21"/>
  <c r="AH216" i="21" s="1"/>
  <c r="W216" i="21"/>
  <c r="T216" i="21"/>
  <c r="R216" i="21"/>
  <c r="Q216" i="21"/>
  <c r="AG216" i="21" s="1"/>
  <c r="P216" i="21"/>
  <c r="M216" i="21"/>
  <c r="K216" i="21"/>
  <c r="J216" i="21"/>
  <c r="AF216" i="21" s="1"/>
  <c r="I216" i="21"/>
  <c r="F216" i="21"/>
  <c r="Y215" i="21"/>
  <c r="X215" i="21"/>
  <c r="AH215" i="21" s="1"/>
  <c r="W215" i="21"/>
  <c r="T215" i="21"/>
  <c r="R215" i="21"/>
  <c r="Q215" i="21"/>
  <c r="AG215" i="21" s="1"/>
  <c r="P215" i="21"/>
  <c r="M215" i="21"/>
  <c r="K215" i="21"/>
  <c r="J215" i="21"/>
  <c r="AF215" i="21" s="1"/>
  <c r="I215" i="21"/>
  <c r="F215" i="21"/>
  <c r="Y214" i="21"/>
  <c r="X214" i="21"/>
  <c r="AH214" i="21" s="1"/>
  <c r="W214" i="21"/>
  <c r="T214" i="21"/>
  <c r="R214" i="21"/>
  <c r="Q214" i="21"/>
  <c r="AG214" i="21" s="1"/>
  <c r="P214" i="21"/>
  <c r="M214" i="21"/>
  <c r="K214" i="21"/>
  <c r="J214" i="21"/>
  <c r="AF214" i="21" s="1"/>
  <c r="I214" i="21"/>
  <c r="F214" i="21"/>
  <c r="Y213" i="21"/>
  <c r="X213" i="21"/>
  <c r="AH213" i="21" s="1"/>
  <c r="W213" i="21"/>
  <c r="T213" i="21"/>
  <c r="R213" i="21"/>
  <c r="Q213" i="21"/>
  <c r="AG213" i="21" s="1"/>
  <c r="P213" i="21"/>
  <c r="M213" i="21"/>
  <c r="K213" i="21"/>
  <c r="J213" i="21"/>
  <c r="AF213" i="21" s="1"/>
  <c r="I213" i="21"/>
  <c r="F213" i="21"/>
  <c r="Y212" i="21"/>
  <c r="X212" i="21"/>
  <c r="AH212" i="21" s="1"/>
  <c r="W212" i="21"/>
  <c r="T212" i="21"/>
  <c r="R212" i="21"/>
  <c r="Q212" i="21"/>
  <c r="AG212" i="21" s="1"/>
  <c r="P212" i="21"/>
  <c r="M212" i="21"/>
  <c r="K212" i="21"/>
  <c r="J212" i="21"/>
  <c r="AF212" i="21" s="1"/>
  <c r="I212" i="21"/>
  <c r="F212" i="21"/>
  <c r="Y211" i="21"/>
  <c r="X211" i="21"/>
  <c r="AH211" i="21" s="1"/>
  <c r="W211" i="21"/>
  <c r="T211" i="21"/>
  <c r="R211" i="21"/>
  <c r="Q211" i="21"/>
  <c r="AG211" i="21" s="1"/>
  <c r="P211" i="21"/>
  <c r="M211" i="21"/>
  <c r="K211" i="21"/>
  <c r="J211" i="21"/>
  <c r="AF211" i="21" s="1"/>
  <c r="I211" i="21"/>
  <c r="F211" i="21"/>
  <c r="Y210" i="21"/>
  <c r="X210" i="21"/>
  <c r="AH210" i="21" s="1"/>
  <c r="W210" i="21"/>
  <c r="T210" i="21"/>
  <c r="R210" i="21"/>
  <c r="Q210" i="21"/>
  <c r="AG210" i="21" s="1"/>
  <c r="P210" i="21"/>
  <c r="M210" i="21"/>
  <c r="K210" i="21"/>
  <c r="J210" i="21"/>
  <c r="AF210" i="21" s="1"/>
  <c r="I210" i="21"/>
  <c r="F210" i="21"/>
  <c r="AH208" i="21"/>
  <c r="AG208" i="21"/>
  <c r="AF208" i="21"/>
  <c r="AH207" i="21"/>
  <c r="AG207" i="21"/>
  <c r="AF207" i="21"/>
  <c r="AH203" i="21"/>
  <c r="AG203" i="21"/>
  <c r="AF203" i="21"/>
  <c r="Y202" i="21"/>
  <c r="X202" i="21"/>
  <c r="AH202" i="21" s="1"/>
  <c r="W202" i="21"/>
  <c r="T202" i="21"/>
  <c r="R202" i="21"/>
  <c r="Q202" i="21"/>
  <c r="AG202" i="21" s="1"/>
  <c r="P202" i="21"/>
  <c r="M202" i="21"/>
  <c r="K202" i="21"/>
  <c r="J202" i="21"/>
  <c r="AF202" i="21" s="1"/>
  <c r="I202" i="21"/>
  <c r="F202" i="21"/>
  <c r="Y201" i="21"/>
  <c r="X201" i="21"/>
  <c r="AH201" i="21" s="1"/>
  <c r="W201" i="21"/>
  <c r="T201" i="21"/>
  <c r="R201" i="21"/>
  <c r="Q201" i="21"/>
  <c r="AG201" i="21" s="1"/>
  <c r="P201" i="21"/>
  <c r="M201" i="21"/>
  <c r="K201" i="21"/>
  <c r="J201" i="21"/>
  <c r="AF201" i="21" s="1"/>
  <c r="I201" i="21"/>
  <c r="F201" i="21"/>
  <c r="Y200" i="21"/>
  <c r="X200" i="21"/>
  <c r="AH200" i="21" s="1"/>
  <c r="W200" i="21"/>
  <c r="T200" i="21"/>
  <c r="R200" i="21"/>
  <c r="Q200" i="21"/>
  <c r="AG200" i="21" s="1"/>
  <c r="P200" i="21"/>
  <c r="M200" i="21"/>
  <c r="K200" i="21"/>
  <c r="J200" i="21"/>
  <c r="AF200" i="21" s="1"/>
  <c r="I200" i="21"/>
  <c r="F200" i="21"/>
  <c r="Y199" i="21"/>
  <c r="X199" i="21"/>
  <c r="AH199" i="21" s="1"/>
  <c r="W199" i="21"/>
  <c r="T199" i="21"/>
  <c r="R199" i="21"/>
  <c r="Q199" i="21"/>
  <c r="AG199" i="21" s="1"/>
  <c r="P199" i="21"/>
  <c r="M199" i="21"/>
  <c r="K199" i="21"/>
  <c r="J199" i="21"/>
  <c r="AF199" i="21" s="1"/>
  <c r="I199" i="21"/>
  <c r="F199" i="21"/>
  <c r="Y198" i="21"/>
  <c r="X198" i="21"/>
  <c r="AH198" i="21" s="1"/>
  <c r="W198" i="21"/>
  <c r="T198" i="21"/>
  <c r="R198" i="21"/>
  <c r="Q198" i="21"/>
  <c r="AG198" i="21" s="1"/>
  <c r="P198" i="21"/>
  <c r="M198" i="21"/>
  <c r="K198" i="21"/>
  <c r="J198" i="21"/>
  <c r="AF198" i="21" s="1"/>
  <c r="I198" i="21"/>
  <c r="F198" i="21"/>
  <c r="Y197" i="21"/>
  <c r="X197" i="21"/>
  <c r="AH197" i="21" s="1"/>
  <c r="W197" i="21"/>
  <c r="T197" i="21"/>
  <c r="R197" i="21"/>
  <c r="Q197" i="21"/>
  <c r="AG197" i="21" s="1"/>
  <c r="P197" i="21"/>
  <c r="M197" i="21"/>
  <c r="K197" i="21"/>
  <c r="J197" i="21"/>
  <c r="AF197" i="21" s="1"/>
  <c r="I197" i="21"/>
  <c r="F197" i="21"/>
  <c r="Y196" i="21"/>
  <c r="X196" i="21"/>
  <c r="AH196" i="21" s="1"/>
  <c r="W196" i="21"/>
  <c r="T196" i="21"/>
  <c r="R196" i="21"/>
  <c r="Q196" i="21"/>
  <c r="AG196" i="21" s="1"/>
  <c r="P196" i="21"/>
  <c r="M196" i="21"/>
  <c r="K196" i="21"/>
  <c r="J196" i="21"/>
  <c r="AF196" i="21" s="1"/>
  <c r="I196" i="21"/>
  <c r="F196" i="21"/>
  <c r="Y195" i="21"/>
  <c r="X195" i="21"/>
  <c r="AH195" i="21" s="1"/>
  <c r="W195" i="21"/>
  <c r="T195" i="21"/>
  <c r="R195" i="21"/>
  <c r="Q195" i="21"/>
  <c r="AG195" i="21" s="1"/>
  <c r="P195" i="21"/>
  <c r="M195" i="21"/>
  <c r="K195" i="21"/>
  <c r="J195" i="21"/>
  <c r="AF195" i="21" s="1"/>
  <c r="I195" i="21"/>
  <c r="F195" i="21"/>
  <c r="Y194" i="21"/>
  <c r="X194" i="21"/>
  <c r="AH194" i="21" s="1"/>
  <c r="W194" i="21"/>
  <c r="T194" i="21"/>
  <c r="R194" i="21"/>
  <c r="Q194" i="21"/>
  <c r="AG194" i="21" s="1"/>
  <c r="P194" i="21"/>
  <c r="M194" i="21"/>
  <c r="K194" i="21"/>
  <c r="J194" i="21"/>
  <c r="AF194" i="21" s="1"/>
  <c r="I194" i="21"/>
  <c r="F194" i="21"/>
  <c r="Y193" i="21"/>
  <c r="X193" i="21"/>
  <c r="AH193" i="21" s="1"/>
  <c r="W193" i="21"/>
  <c r="T193" i="21"/>
  <c r="R193" i="21"/>
  <c r="Q193" i="21"/>
  <c r="AG193" i="21" s="1"/>
  <c r="P193" i="21"/>
  <c r="M193" i="21"/>
  <c r="K193" i="21"/>
  <c r="J193" i="21"/>
  <c r="AF193" i="21" s="1"/>
  <c r="I193" i="21"/>
  <c r="F193" i="21"/>
  <c r="AH192" i="21"/>
  <c r="AG192" i="21"/>
  <c r="AF192" i="21"/>
  <c r="AH191" i="21"/>
  <c r="AG191" i="21"/>
  <c r="AF191" i="21"/>
  <c r="AH190" i="21"/>
  <c r="AG190" i="21"/>
  <c r="AF190" i="21"/>
  <c r="AH186" i="21"/>
  <c r="AG186" i="21"/>
  <c r="AF186" i="21"/>
  <c r="AH185" i="21"/>
  <c r="AG185" i="21"/>
  <c r="AF185" i="21"/>
  <c r="AH184" i="21"/>
  <c r="AG184" i="21"/>
  <c r="AF184" i="21"/>
  <c r="AH183" i="21"/>
  <c r="AG183" i="21"/>
  <c r="AF183" i="21"/>
  <c r="AH182" i="21"/>
  <c r="AG182" i="21"/>
  <c r="AF182" i="21"/>
  <c r="Y181" i="21"/>
  <c r="X181" i="21"/>
  <c r="AH181" i="21" s="1"/>
  <c r="W181" i="21"/>
  <c r="T181" i="21"/>
  <c r="R181" i="21"/>
  <c r="Q181" i="21"/>
  <c r="AG181" i="21" s="1"/>
  <c r="P181" i="21"/>
  <c r="M181" i="21"/>
  <c r="K181" i="21"/>
  <c r="J181" i="21"/>
  <c r="AF181" i="21" s="1"/>
  <c r="I181" i="21"/>
  <c r="F181" i="21"/>
  <c r="Y180" i="21"/>
  <c r="X180" i="21"/>
  <c r="AH180" i="21" s="1"/>
  <c r="W180" i="21"/>
  <c r="T180" i="21"/>
  <c r="R180" i="21"/>
  <c r="Q180" i="21"/>
  <c r="AG180" i="21" s="1"/>
  <c r="P180" i="21"/>
  <c r="M180" i="21"/>
  <c r="K180" i="21"/>
  <c r="J180" i="21"/>
  <c r="AF180" i="21" s="1"/>
  <c r="I180" i="21"/>
  <c r="F180" i="21"/>
  <c r="Y179" i="21"/>
  <c r="X179" i="21"/>
  <c r="AH179" i="21" s="1"/>
  <c r="W179" i="21"/>
  <c r="T179" i="21"/>
  <c r="R179" i="21"/>
  <c r="Q179" i="21"/>
  <c r="AG179" i="21" s="1"/>
  <c r="P179" i="21"/>
  <c r="M179" i="21"/>
  <c r="K179" i="21"/>
  <c r="J179" i="21"/>
  <c r="AF179" i="21" s="1"/>
  <c r="I179" i="21"/>
  <c r="F179" i="21"/>
  <c r="Y178" i="21"/>
  <c r="X178" i="21"/>
  <c r="AH178" i="21" s="1"/>
  <c r="W178" i="21"/>
  <c r="T178" i="21"/>
  <c r="R178" i="21"/>
  <c r="Q178" i="21"/>
  <c r="AG178" i="21" s="1"/>
  <c r="P178" i="21"/>
  <c r="M178" i="21"/>
  <c r="K178" i="21"/>
  <c r="J178" i="21"/>
  <c r="AF178" i="21" s="1"/>
  <c r="I178" i="21"/>
  <c r="F178" i="21"/>
  <c r="Y177" i="21"/>
  <c r="X177" i="21"/>
  <c r="AH177" i="21" s="1"/>
  <c r="W177" i="21"/>
  <c r="T177" i="21"/>
  <c r="R177" i="21"/>
  <c r="Q177" i="21"/>
  <c r="AG177" i="21" s="1"/>
  <c r="P177" i="21"/>
  <c r="M177" i="21"/>
  <c r="K177" i="21"/>
  <c r="J177" i="21"/>
  <c r="AF177" i="21" s="1"/>
  <c r="I177" i="21"/>
  <c r="F177" i="21"/>
  <c r="Y176" i="21"/>
  <c r="X176" i="21"/>
  <c r="AH176" i="21" s="1"/>
  <c r="W176" i="21"/>
  <c r="T176" i="21"/>
  <c r="R176" i="21"/>
  <c r="Q176" i="21"/>
  <c r="AG176" i="21" s="1"/>
  <c r="P176" i="21"/>
  <c r="M176" i="21"/>
  <c r="K176" i="21"/>
  <c r="J176" i="21"/>
  <c r="AF176" i="21" s="1"/>
  <c r="I176" i="21"/>
  <c r="F176" i="21"/>
  <c r="Y175" i="21"/>
  <c r="X175" i="21"/>
  <c r="AH175" i="21" s="1"/>
  <c r="W175" i="21"/>
  <c r="T175" i="21"/>
  <c r="R175" i="21"/>
  <c r="Q175" i="21"/>
  <c r="AG175" i="21" s="1"/>
  <c r="P175" i="21"/>
  <c r="M175" i="21"/>
  <c r="K175" i="21"/>
  <c r="J175" i="21"/>
  <c r="AF175" i="21" s="1"/>
  <c r="I175" i="21"/>
  <c r="F175" i="21"/>
  <c r="Y174" i="21"/>
  <c r="X174" i="21"/>
  <c r="AH174" i="21" s="1"/>
  <c r="W174" i="21"/>
  <c r="T174" i="21"/>
  <c r="R174" i="21"/>
  <c r="Q174" i="21"/>
  <c r="AG174" i="21" s="1"/>
  <c r="P174" i="21"/>
  <c r="M174" i="21"/>
  <c r="K174" i="21"/>
  <c r="J174" i="21"/>
  <c r="AF174" i="21" s="1"/>
  <c r="I174" i="21"/>
  <c r="F174" i="21"/>
  <c r="Y173" i="21"/>
  <c r="X173" i="21"/>
  <c r="AH173" i="21" s="1"/>
  <c r="W173" i="21"/>
  <c r="T173" i="21"/>
  <c r="R173" i="21"/>
  <c r="Q173" i="21"/>
  <c r="AG173" i="21" s="1"/>
  <c r="P173" i="21"/>
  <c r="M173" i="21"/>
  <c r="K173" i="21"/>
  <c r="J173" i="21"/>
  <c r="AF173" i="21" s="1"/>
  <c r="I173" i="21"/>
  <c r="F173" i="21"/>
  <c r="Y172" i="21"/>
  <c r="X172" i="21"/>
  <c r="AH172" i="21" s="1"/>
  <c r="W172" i="21"/>
  <c r="T172" i="21"/>
  <c r="R172" i="21"/>
  <c r="Q172" i="21"/>
  <c r="AG172" i="21" s="1"/>
  <c r="P172" i="21"/>
  <c r="M172" i="21"/>
  <c r="K172" i="21"/>
  <c r="J172" i="21"/>
  <c r="AF172" i="21" s="1"/>
  <c r="I172" i="21"/>
  <c r="F172" i="21"/>
  <c r="Y171" i="21"/>
  <c r="X171" i="21"/>
  <c r="AH171" i="21" s="1"/>
  <c r="W171" i="21"/>
  <c r="T171" i="21"/>
  <c r="R171" i="21"/>
  <c r="Q171" i="21"/>
  <c r="AG171" i="21" s="1"/>
  <c r="P171" i="21"/>
  <c r="M171" i="21"/>
  <c r="K171" i="21"/>
  <c r="J171" i="21"/>
  <c r="AF171" i="21" s="1"/>
  <c r="I171" i="21"/>
  <c r="F171" i="21"/>
  <c r="Y170" i="21"/>
  <c r="X170" i="21"/>
  <c r="AH170" i="21" s="1"/>
  <c r="W170" i="21"/>
  <c r="T170" i="21"/>
  <c r="R170" i="21"/>
  <c r="Q170" i="21"/>
  <c r="AG170" i="21" s="1"/>
  <c r="P170" i="21"/>
  <c r="M170" i="21"/>
  <c r="K170" i="21"/>
  <c r="J170" i="21"/>
  <c r="AF170" i="21" s="1"/>
  <c r="I170" i="21"/>
  <c r="F170" i="21"/>
  <c r="Y169" i="21"/>
  <c r="X169" i="21"/>
  <c r="AH169" i="21" s="1"/>
  <c r="W169" i="21"/>
  <c r="T169" i="21"/>
  <c r="R169" i="21"/>
  <c r="Q169" i="21"/>
  <c r="AG169" i="21" s="1"/>
  <c r="P169" i="21"/>
  <c r="M169" i="21"/>
  <c r="K169" i="21"/>
  <c r="J169" i="21"/>
  <c r="AF169" i="21" s="1"/>
  <c r="I169" i="21"/>
  <c r="F169" i="21"/>
  <c r="Y168" i="21"/>
  <c r="X168" i="21"/>
  <c r="AH168" i="21" s="1"/>
  <c r="W168" i="21"/>
  <c r="T168" i="21"/>
  <c r="R168" i="21"/>
  <c r="Q168" i="21"/>
  <c r="AG168" i="21" s="1"/>
  <c r="P168" i="21"/>
  <c r="M168" i="21"/>
  <c r="K168" i="21"/>
  <c r="J168" i="21"/>
  <c r="AF168" i="21" s="1"/>
  <c r="I168" i="21"/>
  <c r="F168" i="21"/>
  <c r="Y167" i="21"/>
  <c r="X167" i="21"/>
  <c r="AH167" i="21" s="1"/>
  <c r="W167" i="21"/>
  <c r="T167" i="21"/>
  <c r="R167" i="21"/>
  <c r="Q167" i="21"/>
  <c r="AG167" i="21" s="1"/>
  <c r="P167" i="21"/>
  <c r="M167" i="21"/>
  <c r="K167" i="21"/>
  <c r="J167" i="21"/>
  <c r="AF167" i="21" s="1"/>
  <c r="I167" i="21"/>
  <c r="F167" i="21"/>
  <c r="Y166" i="21"/>
  <c r="X166" i="21"/>
  <c r="AH166" i="21" s="1"/>
  <c r="W166" i="21"/>
  <c r="T166" i="21"/>
  <c r="R166" i="21"/>
  <c r="Q166" i="21"/>
  <c r="AG166" i="21" s="1"/>
  <c r="P166" i="21"/>
  <c r="M166" i="21"/>
  <c r="K166" i="21"/>
  <c r="J166" i="21"/>
  <c r="AF166" i="21" s="1"/>
  <c r="I166" i="21"/>
  <c r="F166" i="21"/>
  <c r="Y165" i="21"/>
  <c r="X165" i="21"/>
  <c r="AH165" i="21" s="1"/>
  <c r="W165" i="21"/>
  <c r="T165" i="21"/>
  <c r="R165" i="21"/>
  <c r="Q165" i="21"/>
  <c r="AG165" i="21" s="1"/>
  <c r="P165" i="21"/>
  <c r="M165" i="21"/>
  <c r="K165" i="21"/>
  <c r="J165" i="21"/>
  <c r="AF165" i="21" s="1"/>
  <c r="I165" i="21"/>
  <c r="F165" i="21"/>
  <c r="Y164" i="21"/>
  <c r="X164" i="21"/>
  <c r="AH164" i="21" s="1"/>
  <c r="W164" i="21"/>
  <c r="T164" i="21"/>
  <c r="R164" i="21"/>
  <c r="Q164" i="21"/>
  <c r="AG164" i="21" s="1"/>
  <c r="P164" i="21"/>
  <c r="M164" i="21"/>
  <c r="K164" i="21"/>
  <c r="J164" i="21"/>
  <c r="AF164" i="21" s="1"/>
  <c r="I164" i="21"/>
  <c r="F164" i="21"/>
  <c r="Y163" i="21"/>
  <c r="X163" i="21"/>
  <c r="AH163" i="21" s="1"/>
  <c r="W163" i="21"/>
  <c r="T163" i="21"/>
  <c r="R163" i="21"/>
  <c r="Q163" i="21"/>
  <c r="AG163" i="21" s="1"/>
  <c r="P163" i="21"/>
  <c r="M163" i="21"/>
  <c r="K163" i="21"/>
  <c r="J163" i="21"/>
  <c r="AF163" i="21" s="1"/>
  <c r="I163" i="21"/>
  <c r="F163" i="21"/>
  <c r="Y162" i="21"/>
  <c r="X162" i="21"/>
  <c r="AH162" i="21" s="1"/>
  <c r="W162" i="21"/>
  <c r="T162" i="21"/>
  <c r="R162" i="21"/>
  <c r="Q162" i="21"/>
  <c r="AG162" i="21" s="1"/>
  <c r="P162" i="21"/>
  <c r="M162" i="21"/>
  <c r="K162" i="21"/>
  <c r="J162" i="21"/>
  <c r="AF162" i="21" s="1"/>
  <c r="I162" i="21"/>
  <c r="F162" i="21"/>
  <c r="AH161" i="21"/>
  <c r="AG161" i="21"/>
  <c r="AF161" i="21"/>
  <c r="AH160" i="21"/>
  <c r="AG160" i="21"/>
  <c r="AF160" i="21"/>
  <c r="AH159" i="21"/>
  <c r="AG159" i="21"/>
  <c r="AF159" i="21"/>
  <c r="AH155" i="21"/>
  <c r="AG155" i="21"/>
  <c r="AF155" i="21"/>
  <c r="AH154" i="21"/>
  <c r="AG154" i="21"/>
  <c r="AF154" i="21"/>
  <c r="AH153" i="21"/>
  <c r="AG153" i="21"/>
  <c r="AF153" i="21"/>
  <c r="AH152" i="21"/>
  <c r="AG152" i="21"/>
  <c r="AF152" i="21"/>
  <c r="AH151" i="21"/>
  <c r="AG151" i="21"/>
  <c r="AF151" i="21"/>
  <c r="AH150" i="21"/>
  <c r="AG150" i="21"/>
  <c r="AF150" i="21"/>
  <c r="Y149" i="21"/>
  <c r="X149" i="21"/>
  <c r="AH149" i="21" s="1"/>
  <c r="W149" i="21"/>
  <c r="T149" i="21"/>
  <c r="R149" i="21"/>
  <c r="Q149" i="21"/>
  <c r="AG149" i="21" s="1"/>
  <c r="P149" i="21"/>
  <c r="M149" i="21"/>
  <c r="K149" i="21"/>
  <c r="J149" i="21"/>
  <c r="AF149" i="21" s="1"/>
  <c r="I149" i="21"/>
  <c r="F149" i="21"/>
  <c r="Y148" i="21"/>
  <c r="X148" i="21"/>
  <c r="AH148" i="21" s="1"/>
  <c r="W148" i="21"/>
  <c r="T148" i="21"/>
  <c r="R148" i="21"/>
  <c r="Q148" i="21"/>
  <c r="AG148" i="21" s="1"/>
  <c r="P148" i="21"/>
  <c r="M148" i="21"/>
  <c r="K148" i="21"/>
  <c r="J148" i="21"/>
  <c r="AF148" i="21" s="1"/>
  <c r="I148" i="21"/>
  <c r="F148" i="21"/>
  <c r="Y147" i="21"/>
  <c r="X147" i="21"/>
  <c r="AH147" i="21" s="1"/>
  <c r="W147" i="21"/>
  <c r="T147" i="21"/>
  <c r="R147" i="21"/>
  <c r="Q147" i="21"/>
  <c r="AG147" i="21" s="1"/>
  <c r="P147" i="21"/>
  <c r="M147" i="21"/>
  <c r="K147" i="21"/>
  <c r="J147" i="21"/>
  <c r="AF147" i="21" s="1"/>
  <c r="I147" i="21"/>
  <c r="F147" i="21"/>
  <c r="AH146" i="21"/>
  <c r="AG146" i="21"/>
  <c r="AF146" i="21"/>
  <c r="AH145" i="21"/>
  <c r="AG145" i="21"/>
  <c r="AF145" i="21"/>
  <c r="Y141" i="21"/>
  <c r="X141" i="21"/>
  <c r="AH141" i="21" s="1"/>
  <c r="W141" i="21"/>
  <c r="T141" i="21"/>
  <c r="R141" i="21"/>
  <c r="Q141" i="21"/>
  <c r="AG141" i="21" s="1"/>
  <c r="P141" i="21"/>
  <c r="M141" i="21"/>
  <c r="K141" i="21"/>
  <c r="J141" i="21"/>
  <c r="AF141" i="21" s="1"/>
  <c r="I141" i="21"/>
  <c r="F141" i="21"/>
  <c r="Y140" i="21"/>
  <c r="X140" i="21"/>
  <c r="AH140" i="21" s="1"/>
  <c r="W140" i="21"/>
  <c r="T140" i="21"/>
  <c r="R140" i="21"/>
  <c r="Q140" i="21"/>
  <c r="AG140" i="21" s="1"/>
  <c r="P140" i="21"/>
  <c r="M140" i="21"/>
  <c r="K140" i="21"/>
  <c r="J140" i="21"/>
  <c r="AF140" i="21" s="1"/>
  <c r="I140" i="21"/>
  <c r="F140" i="21"/>
  <c r="Y139" i="21"/>
  <c r="X139" i="21"/>
  <c r="AH139" i="21" s="1"/>
  <c r="W139" i="21"/>
  <c r="T139" i="21"/>
  <c r="R139" i="21"/>
  <c r="Q139" i="21"/>
  <c r="AG139" i="21" s="1"/>
  <c r="P139" i="21"/>
  <c r="M139" i="21"/>
  <c r="K139" i="21"/>
  <c r="J139" i="21"/>
  <c r="AF139" i="21" s="1"/>
  <c r="I139" i="21"/>
  <c r="F139" i="21"/>
  <c r="Y138" i="21"/>
  <c r="X138" i="21"/>
  <c r="AH138" i="21" s="1"/>
  <c r="W138" i="21"/>
  <c r="T138" i="21"/>
  <c r="R138" i="21"/>
  <c r="Q138" i="21"/>
  <c r="AG138" i="21" s="1"/>
  <c r="P138" i="21"/>
  <c r="M138" i="21"/>
  <c r="K138" i="21"/>
  <c r="J138" i="21"/>
  <c r="AF138" i="21" s="1"/>
  <c r="I138" i="21"/>
  <c r="F138" i="21"/>
  <c r="Y137" i="21"/>
  <c r="X137" i="21"/>
  <c r="AH137" i="21" s="1"/>
  <c r="W137" i="21"/>
  <c r="T137" i="21"/>
  <c r="R137" i="21"/>
  <c r="Q137" i="21"/>
  <c r="AG137" i="21" s="1"/>
  <c r="P137" i="21"/>
  <c r="M137" i="21"/>
  <c r="K137" i="21"/>
  <c r="J137" i="21"/>
  <c r="AF137" i="21" s="1"/>
  <c r="I137" i="21"/>
  <c r="F137" i="21"/>
  <c r="Y136" i="21"/>
  <c r="X136" i="21"/>
  <c r="AH136" i="21" s="1"/>
  <c r="W136" i="21"/>
  <c r="T136" i="21"/>
  <c r="R136" i="21"/>
  <c r="Q136" i="21"/>
  <c r="AG136" i="21" s="1"/>
  <c r="P136" i="21"/>
  <c r="M136" i="21"/>
  <c r="K136" i="21"/>
  <c r="J136" i="21"/>
  <c r="AF136" i="21" s="1"/>
  <c r="I136" i="21"/>
  <c r="F136" i="21"/>
  <c r="Y135" i="21"/>
  <c r="X135" i="21"/>
  <c r="AH135" i="21" s="1"/>
  <c r="W135" i="21"/>
  <c r="T135" i="21"/>
  <c r="R135" i="21"/>
  <c r="Q135" i="21"/>
  <c r="AG135" i="21" s="1"/>
  <c r="P135" i="21"/>
  <c r="M135" i="21"/>
  <c r="K135" i="21"/>
  <c r="J135" i="21"/>
  <c r="AF135" i="21" s="1"/>
  <c r="I135" i="21"/>
  <c r="F135" i="21"/>
  <c r="Y134" i="21"/>
  <c r="X134" i="21"/>
  <c r="AH134" i="21" s="1"/>
  <c r="W134" i="21"/>
  <c r="T134" i="21"/>
  <c r="R134" i="21"/>
  <c r="Q134" i="21"/>
  <c r="AG134" i="21" s="1"/>
  <c r="P134" i="21"/>
  <c r="M134" i="21"/>
  <c r="K134" i="21"/>
  <c r="J134" i="21"/>
  <c r="AF134" i="21" s="1"/>
  <c r="I134" i="21"/>
  <c r="F134" i="21"/>
  <c r="Y133" i="21"/>
  <c r="X133" i="21"/>
  <c r="AH133" i="21" s="1"/>
  <c r="W133" i="21"/>
  <c r="T133" i="21"/>
  <c r="R133" i="21"/>
  <c r="Q133" i="21"/>
  <c r="AG133" i="21" s="1"/>
  <c r="P133" i="21"/>
  <c r="M133" i="21"/>
  <c r="K133" i="21"/>
  <c r="J133" i="21"/>
  <c r="AF133" i="21" s="1"/>
  <c r="I133" i="21"/>
  <c r="F133" i="21"/>
  <c r="Y132" i="21"/>
  <c r="X132" i="21"/>
  <c r="AH132" i="21" s="1"/>
  <c r="W132" i="21"/>
  <c r="T132" i="21"/>
  <c r="R132" i="21"/>
  <c r="Q132" i="21"/>
  <c r="AG132" i="21" s="1"/>
  <c r="P132" i="21"/>
  <c r="M132" i="21"/>
  <c r="K132" i="21"/>
  <c r="J132" i="21"/>
  <c r="AF132" i="21" s="1"/>
  <c r="I132" i="21"/>
  <c r="F132" i="21"/>
  <c r="Y131" i="21"/>
  <c r="X131" i="21"/>
  <c r="AH131" i="21" s="1"/>
  <c r="W131" i="21"/>
  <c r="T131" i="21"/>
  <c r="R131" i="21"/>
  <c r="Q131" i="21"/>
  <c r="AG131" i="21" s="1"/>
  <c r="P131" i="21"/>
  <c r="M131" i="21"/>
  <c r="K131" i="21"/>
  <c r="J131" i="21"/>
  <c r="AF131" i="21" s="1"/>
  <c r="I131" i="21"/>
  <c r="F131" i="21"/>
  <c r="Y130" i="21"/>
  <c r="X130" i="21"/>
  <c r="AH130" i="21" s="1"/>
  <c r="W130" i="21"/>
  <c r="T130" i="21"/>
  <c r="R130" i="21"/>
  <c r="Q130" i="21"/>
  <c r="AG130" i="21" s="1"/>
  <c r="P130" i="21"/>
  <c r="M130" i="21"/>
  <c r="K130" i="21"/>
  <c r="J130" i="21"/>
  <c r="AF130" i="21" s="1"/>
  <c r="I130" i="21"/>
  <c r="F130" i="21"/>
  <c r="Y129" i="21"/>
  <c r="X129" i="21"/>
  <c r="AH129" i="21" s="1"/>
  <c r="W129" i="21"/>
  <c r="T129" i="21"/>
  <c r="R129" i="21"/>
  <c r="Q129" i="21"/>
  <c r="AG129" i="21" s="1"/>
  <c r="P129" i="21"/>
  <c r="M129" i="21"/>
  <c r="K129" i="21"/>
  <c r="J129" i="21"/>
  <c r="AF129" i="21" s="1"/>
  <c r="I129" i="21"/>
  <c r="F129" i="21"/>
  <c r="Y128" i="21"/>
  <c r="X128" i="21"/>
  <c r="AH128" i="21" s="1"/>
  <c r="W128" i="21"/>
  <c r="T128" i="21"/>
  <c r="R128" i="21"/>
  <c r="Q128" i="21"/>
  <c r="AG128" i="21" s="1"/>
  <c r="P128" i="21"/>
  <c r="M128" i="21"/>
  <c r="K128" i="21"/>
  <c r="J128" i="21"/>
  <c r="AF128" i="21" s="1"/>
  <c r="I128" i="21"/>
  <c r="F128" i="21"/>
  <c r="Y127" i="21"/>
  <c r="X127" i="21"/>
  <c r="AH127" i="21" s="1"/>
  <c r="W127" i="21"/>
  <c r="T127" i="21"/>
  <c r="R127" i="21"/>
  <c r="Q127" i="21"/>
  <c r="AG127" i="21" s="1"/>
  <c r="P127" i="21"/>
  <c r="M127" i="21"/>
  <c r="K127" i="21"/>
  <c r="J127" i="21"/>
  <c r="AF127" i="21" s="1"/>
  <c r="I127" i="21"/>
  <c r="F127" i="21"/>
  <c r="Y126" i="21"/>
  <c r="X126" i="21"/>
  <c r="AH126" i="21" s="1"/>
  <c r="W126" i="21"/>
  <c r="T126" i="21"/>
  <c r="R126" i="21"/>
  <c r="Q126" i="21"/>
  <c r="AG126" i="21" s="1"/>
  <c r="P126" i="21"/>
  <c r="M126" i="21"/>
  <c r="K126" i="21"/>
  <c r="J126" i="21"/>
  <c r="AF126" i="21" s="1"/>
  <c r="I126" i="21"/>
  <c r="F126" i="21"/>
  <c r="Y125" i="21"/>
  <c r="X125" i="21"/>
  <c r="AH125" i="21" s="1"/>
  <c r="W125" i="21"/>
  <c r="T125" i="21"/>
  <c r="R125" i="21"/>
  <c r="Q125" i="21"/>
  <c r="AG125" i="21" s="1"/>
  <c r="P125" i="21"/>
  <c r="M125" i="21"/>
  <c r="K125" i="21"/>
  <c r="J125" i="21"/>
  <c r="AF125" i="21" s="1"/>
  <c r="I125" i="21"/>
  <c r="F125" i="21"/>
  <c r="Y124" i="21"/>
  <c r="X124" i="21"/>
  <c r="AH124" i="21" s="1"/>
  <c r="W124" i="21"/>
  <c r="T124" i="21"/>
  <c r="R124" i="21"/>
  <c r="Q124" i="21"/>
  <c r="AG124" i="21" s="1"/>
  <c r="P124" i="21"/>
  <c r="M124" i="21"/>
  <c r="K124" i="21"/>
  <c r="J124" i="21"/>
  <c r="AF124" i="21" s="1"/>
  <c r="I124" i="21"/>
  <c r="F124" i="21"/>
  <c r="Y123" i="21"/>
  <c r="X123" i="21"/>
  <c r="AH123" i="21" s="1"/>
  <c r="W123" i="21"/>
  <c r="T123" i="21"/>
  <c r="R123" i="21"/>
  <c r="Q123" i="21"/>
  <c r="AG123" i="21" s="1"/>
  <c r="P123" i="21"/>
  <c r="M123" i="21"/>
  <c r="K123" i="21"/>
  <c r="J123" i="21"/>
  <c r="AF123" i="21" s="1"/>
  <c r="I123" i="21"/>
  <c r="F123" i="21"/>
  <c r="Y122" i="21"/>
  <c r="X122" i="21"/>
  <c r="AH122" i="21" s="1"/>
  <c r="W122" i="21"/>
  <c r="T122" i="21"/>
  <c r="R122" i="21"/>
  <c r="Q122" i="21"/>
  <c r="AG122" i="21" s="1"/>
  <c r="P122" i="21"/>
  <c r="M122" i="21"/>
  <c r="K122" i="21"/>
  <c r="J122" i="21"/>
  <c r="AF122" i="21" s="1"/>
  <c r="I122" i="21"/>
  <c r="F122" i="21"/>
  <c r="Y121" i="21"/>
  <c r="X121" i="21"/>
  <c r="AH121" i="21" s="1"/>
  <c r="W121" i="21"/>
  <c r="T121" i="21"/>
  <c r="R121" i="21"/>
  <c r="Q121" i="21"/>
  <c r="AG121" i="21" s="1"/>
  <c r="P121" i="21"/>
  <c r="M121" i="21"/>
  <c r="K121" i="21"/>
  <c r="J121" i="21"/>
  <c r="AF121" i="21" s="1"/>
  <c r="I121" i="21"/>
  <c r="F121" i="21"/>
  <c r="Y120" i="21"/>
  <c r="X120" i="21"/>
  <c r="AH120" i="21" s="1"/>
  <c r="W120" i="21"/>
  <c r="T120" i="21"/>
  <c r="R120" i="21"/>
  <c r="Q120" i="21"/>
  <c r="AG120" i="21" s="1"/>
  <c r="P120" i="21"/>
  <c r="M120" i="21"/>
  <c r="K120" i="21"/>
  <c r="J120" i="21"/>
  <c r="AF120" i="21" s="1"/>
  <c r="I120" i="21"/>
  <c r="F120" i="21"/>
  <c r="Y119" i="21"/>
  <c r="X119" i="21"/>
  <c r="AH119" i="21" s="1"/>
  <c r="W119" i="21"/>
  <c r="T119" i="21"/>
  <c r="R119" i="21"/>
  <c r="Q119" i="21"/>
  <c r="AG119" i="21" s="1"/>
  <c r="P119" i="21"/>
  <c r="M119" i="21"/>
  <c r="K119" i="21"/>
  <c r="J119" i="21"/>
  <c r="AF119" i="21" s="1"/>
  <c r="I119" i="21"/>
  <c r="F119" i="21"/>
  <c r="Y118" i="21"/>
  <c r="X118" i="21"/>
  <c r="AH118" i="21" s="1"/>
  <c r="W118" i="21"/>
  <c r="T118" i="21"/>
  <c r="R118" i="21"/>
  <c r="Q118" i="21"/>
  <c r="AG118" i="21" s="1"/>
  <c r="P118" i="21"/>
  <c r="M118" i="21"/>
  <c r="K118" i="21"/>
  <c r="J118" i="21"/>
  <c r="AF118" i="21" s="1"/>
  <c r="I118" i="21"/>
  <c r="F118" i="21"/>
  <c r="Y117" i="21"/>
  <c r="X117" i="21"/>
  <c r="AH117" i="21" s="1"/>
  <c r="W117" i="21"/>
  <c r="T117" i="21"/>
  <c r="R117" i="21"/>
  <c r="Q117" i="21"/>
  <c r="AG117" i="21" s="1"/>
  <c r="P117" i="21"/>
  <c r="M117" i="21"/>
  <c r="K117" i="21"/>
  <c r="J117" i="21"/>
  <c r="AF117" i="21" s="1"/>
  <c r="I117" i="21"/>
  <c r="F117" i="21"/>
  <c r="Y112" i="21"/>
  <c r="X112" i="21"/>
  <c r="AH112" i="21" s="1"/>
  <c r="W112" i="21"/>
  <c r="T112" i="21"/>
  <c r="R112" i="21"/>
  <c r="Q112" i="21"/>
  <c r="AG112" i="21" s="1"/>
  <c r="P112" i="21"/>
  <c r="M112" i="21"/>
  <c r="K112" i="21"/>
  <c r="J112" i="21"/>
  <c r="AF112" i="21" s="1"/>
  <c r="I112" i="21"/>
  <c r="F112" i="21"/>
  <c r="Y111" i="21"/>
  <c r="X111" i="21"/>
  <c r="AH111" i="21" s="1"/>
  <c r="W111" i="21"/>
  <c r="T111" i="21"/>
  <c r="R111" i="21"/>
  <c r="Q111" i="21"/>
  <c r="AG111" i="21" s="1"/>
  <c r="P111" i="21"/>
  <c r="M111" i="21"/>
  <c r="K111" i="21"/>
  <c r="J111" i="21"/>
  <c r="AF111" i="21" s="1"/>
  <c r="I111" i="21"/>
  <c r="F111" i="21"/>
  <c r="Y110" i="21"/>
  <c r="X110" i="21"/>
  <c r="AH110" i="21" s="1"/>
  <c r="W110" i="21"/>
  <c r="T110" i="21"/>
  <c r="R110" i="21"/>
  <c r="Q110" i="21"/>
  <c r="AG110" i="21" s="1"/>
  <c r="P110" i="21"/>
  <c r="M110" i="21"/>
  <c r="K110" i="21"/>
  <c r="J110" i="21"/>
  <c r="AF110" i="21" s="1"/>
  <c r="I110" i="21"/>
  <c r="F110" i="21"/>
  <c r="Y109" i="21"/>
  <c r="X109" i="21"/>
  <c r="AH109" i="21" s="1"/>
  <c r="W109" i="21"/>
  <c r="T109" i="21"/>
  <c r="R109" i="21"/>
  <c r="Q109" i="21"/>
  <c r="AG109" i="21" s="1"/>
  <c r="P109" i="21"/>
  <c r="M109" i="21"/>
  <c r="K109" i="21"/>
  <c r="J109" i="21"/>
  <c r="AF109" i="21" s="1"/>
  <c r="I109" i="21"/>
  <c r="F109" i="21"/>
  <c r="Y108" i="21"/>
  <c r="X108" i="21"/>
  <c r="AH108" i="21" s="1"/>
  <c r="W108" i="21"/>
  <c r="T108" i="21"/>
  <c r="R108" i="21"/>
  <c r="Q108" i="21"/>
  <c r="AG108" i="21" s="1"/>
  <c r="P108" i="21"/>
  <c r="M108" i="21"/>
  <c r="K108" i="21"/>
  <c r="J108" i="21"/>
  <c r="AF108" i="21" s="1"/>
  <c r="I108" i="21"/>
  <c r="F108" i="21"/>
  <c r="Y107" i="21"/>
  <c r="X107" i="21"/>
  <c r="AH107" i="21" s="1"/>
  <c r="W107" i="21"/>
  <c r="T107" i="21"/>
  <c r="R107" i="21"/>
  <c r="Q107" i="21"/>
  <c r="AG107" i="21" s="1"/>
  <c r="P107" i="21"/>
  <c r="M107" i="21"/>
  <c r="K107" i="21"/>
  <c r="J107" i="21"/>
  <c r="AF107" i="21" s="1"/>
  <c r="I107" i="21"/>
  <c r="F107" i="21"/>
  <c r="Y106" i="21"/>
  <c r="X106" i="21"/>
  <c r="AH106" i="21" s="1"/>
  <c r="W106" i="21"/>
  <c r="T106" i="21"/>
  <c r="R106" i="21"/>
  <c r="Q106" i="21"/>
  <c r="AG106" i="21" s="1"/>
  <c r="P106" i="21"/>
  <c r="M106" i="21"/>
  <c r="K106" i="21"/>
  <c r="J106" i="21"/>
  <c r="AF106" i="21" s="1"/>
  <c r="I106" i="21"/>
  <c r="F106" i="21"/>
  <c r="Y105" i="21"/>
  <c r="X105" i="21"/>
  <c r="AH105" i="21" s="1"/>
  <c r="W105" i="21"/>
  <c r="T105" i="21"/>
  <c r="R105" i="21"/>
  <c r="Q105" i="21"/>
  <c r="AG105" i="21" s="1"/>
  <c r="P105" i="21"/>
  <c r="M105" i="21"/>
  <c r="K105" i="21"/>
  <c r="J105" i="21"/>
  <c r="AF105" i="21" s="1"/>
  <c r="I105" i="21"/>
  <c r="F105" i="21"/>
  <c r="Y104" i="21"/>
  <c r="X104" i="21"/>
  <c r="AH104" i="21" s="1"/>
  <c r="W104" i="21"/>
  <c r="T104" i="21"/>
  <c r="R104" i="21"/>
  <c r="Q104" i="21"/>
  <c r="AG104" i="21" s="1"/>
  <c r="P104" i="21"/>
  <c r="M104" i="21"/>
  <c r="K104" i="21"/>
  <c r="J104" i="21"/>
  <c r="AF104" i="21" s="1"/>
  <c r="I104" i="21"/>
  <c r="F104" i="21"/>
  <c r="Y103" i="21"/>
  <c r="X103" i="21"/>
  <c r="AH103" i="21" s="1"/>
  <c r="W103" i="21"/>
  <c r="T103" i="21"/>
  <c r="R103" i="21"/>
  <c r="Q103" i="21"/>
  <c r="AG103" i="21" s="1"/>
  <c r="P103" i="21"/>
  <c r="M103" i="21"/>
  <c r="K103" i="21"/>
  <c r="J103" i="21"/>
  <c r="AF103" i="21" s="1"/>
  <c r="I103" i="21"/>
  <c r="F103" i="21"/>
  <c r="Y99" i="21"/>
  <c r="X99" i="21"/>
  <c r="W99" i="21"/>
  <c r="T99" i="21"/>
  <c r="R99" i="21"/>
  <c r="Q99" i="21"/>
  <c r="P99" i="21"/>
  <c r="M99" i="21"/>
  <c r="K99" i="21"/>
  <c r="J99" i="21"/>
  <c r="I99" i="21"/>
  <c r="F99" i="21"/>
  <c r="Y98" i="21"/>
  <c r="X98" i="21"/>
  <c r="W98" i="21"/>
  <c r="T98" i="21"/>
  <c r="R98" i="21"/>
  <c r="Q98" i="21"/>
  <c r="P98" i="21"/>
  <c r="M98" i="21"/>
  <c r="K98" i="21"/>
  <c r="J98" i="21"/>
  <c r="I98" i="21"/>
  <c r="F98" i="21"/>
  <c r="Y97" i="21"/>
  <c r="X97" i="21"/>
  <c r="W97" i="21"/>
  <c r="T97" i="21"/>
  <c r="R97" i="21"/>
  <c r="Q97" i="21"/>
  <c r="P97" i="21"/>
  <c r="M97" i="21"/>
  <c r="K97" i="21"/>
  <c r="J97" i="21"/>
  <c r="I97" i="21"/>
  <c r="F97" i="21"/>
  <c r="Y96" i="21"/>
  <c r="X96" i="21"/>
  <c r="W96" i="21"/>
  <c r="T96" i="21"/>
  <c r="R96" i="21"/>
  <c r="Q96" i="21"/>
  <c r="P96" i="21"/>
  <c r="M96" i="21"/>
  <c r="K96" i="21"/>
  <c r="J96" i="21"/>
  <c r="I96" i="21"/>
  <c r="F96" i="21"/>
  <c r="Y95" i="21"/>
  <c r="X95" i="21"/>
  <c r="W95" i="21"/>
  <c r="T95" i="21"/>
  <c r="R95" i="21"/>
  <c r="Q95" i="21"/>
  <c r="P95" i="21"/>
  <c r="M95" i="21"/>
  <c r="K95" i="21"/>
  <c r="J95" i="21"/>
  <c r="I95" i="21"/>
  <c r="F95" i="21"/>
  <c r="Y94" i="21"/>
  <c r="X94" i="21"/>
  <c r="W94" i="21"/>
  <c r="T94" i="21"/>
  <c r="R94" i="21"/>
  <c r="Q94" i="21"/>
  <c r="P94" i="21"/>
  <c r="M94" i="21"/>
  <c r="K94" i="21"/>
  <c r="J94" i="21"/>
  <c r="I94" i="21"/>
  <c r="F94" i="21"/>
  <c r="Y90" i="21"/>
  <c r="X90" i="21"/>
  <c r="AH90" i="21" s="1"/>
  <c r="W90" i="21"/>
  <c r="T90" i="21"/>
  <c r="R90" i="21"/>
  <c r="Q90" i="21"/>
  <c r="AG90" i="21" s="1"/>
  <c r="P90" i="21"/>
  <c r="M90" i="21"/>
  <c r="K90" i="21"/>
  <c r="J90" i="21"/>
  <c r="AF90" i="21" s="1"/>
  <c r="I90" i="21"/>
  <c r="F90" i="21"/>
  <c r="Y89" i="21"/>
  <c r="X89" i="21"/>
  <c r="AH89" i="21" s="1"/>
  <c r="W89" i="21"/>
  <c r="T89" i="21"/>
  <c r="R89" i="21"/>
  <c r="Q89" i="21"/>
  <c r="AG89" i="21" s="1"/>
  <c r="P89" i="21"/>
  <c r="M89" i="21"/>
  <c r="K89" i="21"/>
  <c r="J89" i="21"/>
  <c r="AF89" i="21" s="1"/>
  <c r="I89" i="21"/>
  <c r="F89" i="21"/>
  <c r="Y88" i="21"/>
  <c r="X88" i="21"/>
  <c r="AH88" i="21" s="1"/>
  <c r="W88" i="21"/>
  <c r="T88" i="21"/>
  <c r="R88" i="21"/>
  <c r="Q88" i="21"/>
  <c r="AG88" i="21" s="1"/>
  <c r="P88" i="21"/>
  <c r="M88" i="21"/>
  <c r="K88" i="21"/>
  <c r="J88" i="21"/>
  <c r="AF88" i="21" s="1"/>
  <c r="I88" i="21"/>
  <c r="F88" i="21"/>
  <c r="Y87" i="21"/>
  <c r="X87" i="21"/>
  <c r="AH87" i="21" s="1"/>
  <c r="W87" i="21"/>
  <c r="T87" i="21"/>
  <c r="R87" i="21"/>
  <c r="Q87" i="21"/>
  <c r="AG87" i="21" s="1"/>
  <c r="P87" i="21"/>
  <c r="M87" i="21"/>
  <c r="K87" i="21"/>
  <c r="J87" i="21"/>
  <c r="AF87" i="21" s="1"/>
  <c r="I87" i="21"/>
  <c r="F87" i="21"/>
  <c r="Y86" i="21"/>
  <c r="X86" i="21"/>
  <c r="AH86" i="21" s="1"/>
  <c r="W86" i="21"/>
  <c r="T86" i="21"/>
  <c r="R86" i="21"/>
  <c r="Q86" i="21"/>
  <c r="AG86" i="21" s="1"/>
  <c r="P86" i="21"/>
  <c r="M86" i="21"/>
  <c r="K86" i="21"/>
  <c r="J86" i="21"/>
  <c r="AF86" i="21" s="1"/>
  <c r="I86" i="21"/>
  <c r="F86" i="21"/>
  <c r="Y85" i="21"/>
  <c r="X85" i="21"/>
  <c r="AH85" i="21" s="1"/>
  <c r="W85" i="21"/>
  <c r="T85" i="21"/>
  <c r="R85" i="21"/>
  <c r="Q85" i="21"/>
  <c r="AG85" i="21" s="1"/>
  <c r="P85" i="21"/>
  <c r="M85" i="21"/>
  <c r="K85" i="21"/>
  <c r="J85" i="21"/>
  <c r="AF85" i="21" s="1"/>
  <c r="I85" i="21"/>
  <c r="F85" i="21"/>
  <c r="Y84" i="21"/>
  <c r="X84" i="21"/>
  <c r="AH84" i="21" s="1"/>
  <c r="W84" i="21"/>
  <c r="T84" i="21"/>
  <c r="R84" i="21"/>
  <c r="Q84" i="21"/>
  <c r="AG84" i="21" s="1"/>
  <c r="P84" i="21"/>
  <c r="M84" i="21"/>
  <c r="K84" i="21"/>
  <c r="J84" i="21"/>
  <c r="AF84" i="21" s="1"/>
  <c r="I84" i="21"/>
  <c r="F84" i="21"/>
  <c r="Y83" i="21"/>
  <c r="X83" i="21"/>
  <c r="AH83" i="21" s="1"/>
  <c r="W83" i="21"/>
  <c r="T83" i="21"/>
  <c r="R83" i="21"/>
  <c r="Q83" i="21"/>
  <c r="AG83" i="21" s="1"/>
  <c r="P83" i="21"/>
  <c r="M83" i="21"/>
  <c r="K83" i="21"/>
  <c r="J83" i="21"/>
  <c r="AF83" i="21" s="1"/>
  <c r="I83" i="21"/>
  <c r="F83" i="21"/>
  <c r="Y82" i="21"/>
  <c r="X82" i="21"/>
  <c r="AH82" i="21" s="1"/>
  <c r="W82" i="21"/>
  <c r="T82" i="21"/>
  <c r="R82" i="21"/>
  <c r="Q82" i="21"/>
  <c r="AG82" i="21" s="1"/>
  <c r="P82" i="21"/>
  <c r="M82" i="21"/>
  <c r="K82" i="21"/>
  <c r="J82" i="21"/>
  <c r="AF82" i="21" s="1"/>
  <c r="I82" i="21"/>
  <c r="F82" i="21"/>
  <c r="Y81" i="21"/>
  <c r="X81" i="21"/>
  <c r="AH81" i="21" s="1"/>
  <c r="W81" i="21"/>
  <c r="T81" i="21"/>
  <c r="R81" i="21"/>
  <c r="Q81" i="21"/>
  <c r="AG81" i="21" s="1"/>
  <c r="P81" i="21"/>
  <c r="M81" i="21"/>
  <c r="K81" i="21"/>
  <c r="J81" i="21"/>
  <c r="AF81" i="21" s="1"/>
  <c r="I81" i="21"/>
  <c r="F81" i="21"/>
  <c r="Y80" i="21"/>
  <c r="X80" i="21"/>
  <c r="AH80" i="21" s="1"/>
  <c r="W80" i="21"/>
  <c r="T80" i="21"/>
  <c r="R80" i="21"/>
  <c r="Q80" i="21"/>
  <c r="AG80" i="21" s="1"/>
  <c r="P80" i="21"/>
  <c r="M80" i="21"/>
  <c r="K80" i="21"/>
  <c r="J80" i="21"/>
  <c r="AF80" i="21" s="1"/>
  <c r="I80" i="21"/>
  <c r="F80" i="21"/>
  <c r="Y79" i="21"/>
  <c r="X79" i="21"/>
  <c r="AH79" i="21" s="1"/>
  <c r="W79" i="21"/>
  <c r="T79" i="21"/>
  <c r="R79" i="21"/>
  <c r="Q79" i="21"/>
  <c r="AG79" i="21" s="1"/>
  <c r="P79" i="21"/>
  <c r="M79" i="21"/>
  <c r="K79" i="21"/>
  <c r="J79" i="21"/>
  <c r="AF79" i="21" s="1"/>
  <c r="I79" i="21"/>
  <c r="F79" i="21"/>
  <c r="Y78" i="21"/>
  <c r="X78" i="21"/>
  <c r="AH78" i="21" s="1"/>
  <c r="W78" i="21"/>
  <c r="T78" i="21"/>
  <c r="R78" i="21"/>
  <c r="Q78" i="21"/>
  <c r="AG78" i="21" s="1"/>
  <c r="P78" i="21"/>
  <c r="M78" i="21"/>
  <c r="K78" i="21"/>
  <c r="J78" i="21"/>
  <c r="AF78" i="21" s="1"/>
  <c r="I78" i="21"/>
  <c r="F78" i="21"/>
  <c r="Y77" i="21"/>
  <c r="X77" i="21"/>
  <c r="AH77" i="21" s="1"/>
  <c r="W77" i="21"/>
  <c r="T77" i="21"/>
  <c r="R77" i="21"/>
  <c r="Q77" i="21"/>
  <c r="AG77" i="21" s="1"/>
  <c r="P77" i="21"/>
  <c r="M77" i="21"/>
  <c r="K77" i="21"/>
  <c r="J77" i="21"/>
  <c r="AF77" i="21" s="1"/>
  <c r="I77" i="21"/>
  <c r="F77" i="21"/>
  <c r="Y76" i="21"/>
  <c r="X76" i="21"/>
  <c r="AH76" i="21" s="1"/>
  <c r="W76" i="21"/>
  <c r="T76" i="21"/>
  <c r="R76" i="21"/>
  <c r="Q76" i="21"/>
  <c r="AG76" i="21" s="1"/>
  <c r="P76" i="21"/>
  <c r="M76" i="21"/>
  <c r="K76" i="21"/>
  <c r="J76" i="21"/>
  <c r="AF76" i="21" s="1"/>
  <c r="I76" i="21"/>
  <c r="F76" i="21"/>
  <c r="Y75" i="21"/>
  <c r="X75" i="21"/>
  <c r="AH75" i="21" s="1"/>
  <c r="W75" i="21"/>
  <c r="T75" i="21"/>
  <c r="R75" i="21"/>
  <c r="Q75" i="21"/>
  <c r="AG75" i="21" s="1"/>
  <c r="P75" i="21"/>
  <c r="M75" i="21"/>
  <c r="K75" i="21"/>
  <c r="J75" i="21"/>
  <c r="AF75" i="21" s="1"/>
  <c r="I75" i="21"/>
  <c r="F75" i="21"/>
  <c r="Y74" i="21"/>
  <c r="X74" i="21"/>
  <c r="AH74" i="21" s="1"/>
  <c r="W74" i="21"/>
  <c r="T74" i="21"/>
  <c r="R74" i="21"/>
  <c r="Q74" i="21"/>
  <c r="AG74" i="21" s="1"/>
  <c r="P74" i="21"/>
  <c r="M74" i="21"/>
  <c r="K74" i="21"/>
  <c r="J74" i="21"/>
  <c r="AF74" i="21" s="1"/>
  <c r="I74" i="21"/>
  <c r="F74" i="21"/>
  <c r="Y73" i="21"/>
  <c r="X73" i="21"/>
  <c r="AH73" i="21" s="1"/>
  <c r="W73" i="21"/>
  <c r="T73" i="21"/>
  <c r="R73" i="21"/>
  <c r="Q73" i="21"/>
  <c r="AG73" i="21" s="1"/>
  <c r="P73" i="21"/>
  <c r="M73" i="21"/>
  <c r="K73" i="21"/>
  <c r="J73" i="21"/>
  <c r="AF73" i="21" s="1"/>
  <c r="I73" i="21"/>
  <c r="F73" i="21"/>
  <c r="Y72" i="21"/>
  <c r="X72" i="21"/>
  <c r="AH72" i="21" s="1"/>
  <c r="W72" i="21"/>
  <c r="T72" i="21"/>
  <c r="R72" i="21"/>
  <c r="Q72" i="21"/>
  <c r="AG72" i="21" s="1"/>
  <c r="P72" i="21"/>
  <c r="M72" i="21"/>
  <c r="K72" i="21"/>
  <c r="J72" i="21"/>
  <c r="AF72" i="21" s="1"/>
  <c r="I72" i="21"/>
  <c r="F72" i="21"/>
  <c r="Y71" i="21"/>
  <c r="X71" i="21"/>
  <c r="AH71" i="21" s="1"/>
  <c r="W71" i="21"/>
  <c r="T71" i="21"/>
  <c r="R71" i="21"/>
  <c r="Q71" i="21"/>
  <c r="AG71" i="21" s="1"/>
  <c r="P71" i="21"/>
  <c r="M71" i="21"/>
  <c r="K71" i="21"/>
  <c r="J71" i="21"/>
  <c r="AF71" i="21" s="1"/>
  <c r="I71" i="21"/>
  <c r="F71" i="21"/>
  <c r="Y69" i="21"/>
  <c r="X69" i="21"/>
  <c r="AH69" i="21" s="1"/>
  <c r="W69" i="21"/>
  <c r="T69" i="21"/>
  <c r="R69" i="21"/>
  <c r="Q69" i="21"/>
  <c r="AG69" i="21" s="1"/>
  <c r="P69" i="21"/>
  <c r="M69" i="21"/>
  <c r="K69" i="21"/>
  <c r="J69" i="21"/>
  <c r="AF69" i="21" s="1"/>
  <c r="I69" i="21"/>
  <c r="F69" i="21"/>
  <c r="Y68" i="21"/>
  <c r="X68" i="21"/>
  <c r="AH68" i="21" s="1"/>
  <c r="W68" i="21"/>
  <c r="T68" i="21"/>
  <c r="R68" i="21"/>
  <c r="Q68" i="21"/>
  <c r="AG68" i="21" s="1"/>
  <c r="P68" i="21"/>
  <c r="M68" i="21"/>
  <c r="K68" i="21"/>
  <c r="J68" i="21"/>
  <c r="AF68" i="21" s="1"/>
  <c r="I68" i="21"/>
  <c r="F68" i="21"/>
  <c r="Y67" i="21"/>
  <c r="X67" i="21"/>
  <c r="AH67" i="21" s="1"/>
  <c r="W67" i="21"/>
  <c r="T67" i="21"/>
  <c r="R67" i="21"/>
  <c r="Q67" i="21"/>
  <c r="AG67" i="21" s="1"/>
  <c r="P67" i="21"/>
  <c r="M67" i="21"/>
  <c r="K67" i="21"/>
  <c r="J67" i="21"/>
  <c r="AF67" i="21" s="1"/>
  <c r="I67" i="21"/>
  <c r="F67" i="21"/>
  <c r="Y66" i="21"/>
  <c r="X66" i="21"/>
  <c r="AH66" i="21" s="1"/>
  <c r="W66" i="21"/>
  <c r="T66" i="21"/>
  <c r="R66" i="21"/>
  <c r="Q66" i="21"/>
  <c r="AG66" i="21" s="1"/>
  <c r="P66" i="21"/>
  <c r="M66" i="21"/>
  <c r="K66" i="21"/>
  <c r="J66" i="21"/>
  <c r="AF66" i="21" s="1"/>
  <c r="I66" i="21"/>
  <c r="F66" i="21"/>
  <c r="Y65" i="21"/>
  <c r="X65" i="21"/>
  <c r="AH65" i="21" s="1"/>
  <c r="W65" i="21"/>
  <c r="T65" i="21"/>
  <c r="R65" i="21"/>
  <c r="Q65" i="21"/>
  <c r="AG65" i="21" s="1"/>
  <c r="P65" i="21"/>
  <c r="M65" i="21"/>
  <c r="K65" i="21"/>
  <c r="J65" i="21"/>
  <c r="AF65" i="21" s="1"/>
  <c r="I65" i="21"/>
  <c r="F65" i="21"/>
  <c r="Y61" i="21"/>
  <c r="X61" i="21"/>
  <c r="AH61" i="21" s="1"/>
  <c r="W61" i="21"/>
  <c r="T61" i="21"/>
  <c r="R61" i="21"/>
  <c r="Q61" i="21"/>
  <c r="AG61" i="21" s="1"/>
  <c r="P61" i="21"/>
  <c r="M61" i="21"/>
  <c r="K61" i="21"/>
  <c r="J61" i="21"/>
  <c r="AF61" i="21" s="1"/>
  <c r="I61" i="21"/>
  <c r="F61" i="21"/>
  <c r="Y60" i="21"/>
  <c r="X60" i="21"/>
  <c r="AH60" i="21" s="1"/>
  <c r="W60" i="21"/>
  <c r="T60" i="21"/>
  <c r="R60" i="21"/>
  <c r="Q60" i="21"/>
  <c r="AG60" i="21" s="1"/>
  <c r="P60" i="21"/>
  <c r="M60" i="21"/>
  <c r="K60" i="21"/>
  <c r="J60" i="21"/>
  <c r="AF60" i="21" s="1"/>
  <c r="I60" i="21"/>
  <c r="F60" i="21"/>
  <c r="Y59" i="21"/>
  <c r="X59" i="21"/>
  <c r="AH59" i="21" s="1"/>
  <c r="W59" i="21"/>
  <c r="T59" i="21"/>
  <c r="R59" i="21"/>
  <c r="Q59" i="21"/>
  <c r="AG59" i="21" s="1"/>
  <c r="P59" i="21"/>
  <c r="M59" i="21"/>
  <c r="K59" i="21"/>
  <c r="J59" i="21"/>
  <c r="AF59" i="21" s="1"/>
  <c r="I59" i="21"/>
  <c r="F59" i="21"/>
  <c r="Y58" i="21"/>
  <c r="X58" i="21"/>
  <c r="AH58" i="21" s="1"/>
  <c r="W58" i="21"/>
  <c r="T58" i="21"/>
  <c r="R58" i="21"/>
  <c r="Q58" i="21"/>
  <c r="AG58" i="21" s="1"/>
  <c r="P58" i="21"/>
  <c r="M58" i="21"/>
  <c r="K58" i="21"/>
  <c r="J58" i="21"/>
  <c r="AF58" i="21" s="1"/>
  <c r="I58" i="21"/>
  <c r="F58" i="21"/>
  <c r="Y57" i="21"/>
  <c r="X57" i="21"/>
  <c r="AH57" i="21" s="1"/>
  <c r="W57" i="21"/>
  <c r="T57" i="21"/>
  <c r="R57" i="21"/>
  <c r="Q57" i="21"/>
  <c r="AG57" i="21" s="1"/>
  <c r="P57" i="21"/>
  <c r="M57" i="21"/>
  <c r="K57" i="21"/>
  <c r="J57" i="21"/>
  <c r="AF57" i="21" s="1"/>
  <c r="I57" i="21"/>
  <c r="F57" i="21"/>
  <c r="Y56" i="21"/>
  <c r="X56" i="21"/>
  <c r="AH56" i="21" s="1"/>
  <c r="W56" i="21"/>
  <c r="T56" i="21"/>
  <c r="R56" i="21"/>
  <c r="Q56" i="21"/>
  <c r="AG56" i="21" s="1"/>
  <c r="P56" i="21"/>
  <c r="M56" i="21"/>
  <c r="K56" i="21"/>
  <c r="J56" i="21"/>
  <c r="AF56" i="21" s="1"/>
  <c r="I56" i="21"/>
  <c r="F56" i="21"/>
  <c r="Y55" i="21"/>
  <c r="X55" i="21"/>
  <c r="AH55" i="21" s="1"/>
  <c r="W55" i="21"/>
  <c r="T55" i="21"/>
  <c r="R55" i="21"/>
  <c r="Q55" i="21"/>
  <c r="AG55" i="21" s="1"/>
  <c r="P55" i="21"/>
  <c r="M55" i="21"/>
  <c r="K55" i="21"/>
  <c r="J55" i="21"/>
  <c r="AF55" i="21" s="1"/>
  <c r="I55" i="21"/>
  <c r="F55" i="21"/>
  <c r="Y54" i="21"/>
  <c r="X54" i="21"/>
  <c r="AH54" i="21" s="1"/>
  <c r="W54" i="21"/>
  <c r="T54" i="21"/>
  <c r="R54" i="21"/>
  <c r="Q54" i="21"/>
  <c r="AG54" i="21" s="1"/>
  <c r="P54" i="21"/>
  <c r="M54" i="21"/>
  <c r="K54" i="21"/>
  <c r="J54" i="21"/>
  <c r="AF54" i="21" s="1"/>
  <c r="I54" i="21"/>
  <c r="F54" i="21"/>
  <c r="Y53" i="21"/>
  <c r="X53" i="21"/>
  <c r="AH53" i="21" s="1"/>
  <c r="W53" i="21"/>
  <c r="T53" i="21"/>
  <c r="R53" i="21"/>
  <c r="Q53" i="21"/>
  <c r="AG53" i="21" s="1"/>
  <c r="P53" i="21"/>
  <c r="M53" i="21"/>
  <c r="K53" i="21"/>
  <c r="J53" i="21"/>
  <c r="AF53" i="21" s="1"/>
  <c r="I53" i="21"/>
  <c r="F53" i="21"/>
  <c r="Y52" i="21"/>
  <c r="X52" i="21"/>
  <c r="AH52" i="21" s="1"/>
  <c r="W52" i="21"/>
  <c r="T52" i="21"/>
  <c r="R52" i="21"/>
  <c r="Q52" i="21"/>
  <c r="AG52" i="21" s="1"/>
  <c r="P52" i="21"/>
  <c r="M52" i="21"/>
  <c r="K52" i="21"/>
  <c r="J52" i="21"/>
  <c r="AF52" i="21" s="1"/>
  <c r="I52" i="21"/>
  <c r="F52" i="21"/>
  <c r="Y51" i="21"/>
  <c r="X51" i="21"/>
  <c r="AH51" i="21" s="1"/>
  <c r="W51" i="21"/>
  <c r="T51" i="21"/>
  <c r="R51" i="21"/>
  <c r="Q51" i="21"/>
  <c r="AG51" i="21" s="1"/>
  <c r="P51" i="21"/>
  <c r="M51" i="21"/>
  <c r="K51" i="21"/>
  <c r="J51" i="21"/>
  <c r="AF51" i="21" s="1"/>
  <c r="I51" i="21"/>
  <c r="F51" i="21"/>
  <c r="Y50" i="21"/>
  <c r="X50" i="21"/>
  <c r="AH50" i="21" s="1"/>
  <c r="W50" i="21"/>
  <c r="T50" i="21"/>
  <c r="R50" i="21"/>
  <c r="Q50" i="21"/>
  <c r="AG50" i="21" s="1"/>
  <c r="P50" i="21"/>
  <c r="M50" i="21"/>
  <c r="K50" i="21"/>
  <c r="J50" i="21"/>
  <c r="AF50" i="21" s="1"/>
  <c r="I50" i="21"/>
  <c r="F50" i="21"/>
  <c r="Y49" i="21"/>
  <c r="X49" i="21"/>
  <c r="AH49" i="21" s="1"/>
  <c r="W49" i="21"/>
  <c r="T49" i="21"/>
  <c r="R49" i="21"/>
  <c r="Q49" i="21"/>
  <c r="AG49" i="21" s="1"/>
  <c r="P49" i="21"/>
  <c r="M49" i="21"/>
  <c r="K49" i="21"/>
  <c r="J49" i="21"/>
  <c r="AF49" i="21" s="1"/>
  <c r="I49" i="21"/>
  <c r="F49" i="21"/>
  <c r="Y48" i="21"/>
  <c r="X48" i="21"/>
  <c r="AH48" i="21" s="1"/>
  <c r="W48" i="21"/>
  <c r="T48" i="21"/>
  <c r="R48" i="21"/>
  <c r="Q48" i="21"/>
  <c r="AG48" i="21" s="1"/>
  <c r="P48" i="21"/>
  <c r="M48" i="21"/>
  <c r="K48" i="21"/>
  <c r="J48" i="21"/>
  <c r="AF48" i="21" s="1"/>
  <c r="I48" i="21"/>
  <c r="F48" i="21"/>
  <c r="Y47" i="21"/>
  <c r="X47" i="21"/>
  <c r="AH47" i="21" s="1"/>
  <c r="W47" i="21"/>
  <c r="T47" i="21"/>
  <c r="R47" i="21"/>
  <c r="Q47" i="21"/>
  <c r="AG47" i="21" s="1"/>
  <c r="P47" i="21"/>
  <c r="M47" i="21"/>
  <c r="K47" i="21"/>
  <c r="J47" i="21"/>
  <c r="AF47" i="21" s="1"/>
  <c r="I47" i="21"/>
  <c r="F47" i="21"/>
  <c r="Y46" i="21"/>
  <c r="X46" i="21"/>
  <c r="AH46" i="21" s="1"/>
  <c r="W46" i="21"/>
  <c r="T46" i="21"/>
  <c r="R46" i="21"/>
  <c r="Q46" i="21"/>
  <c r="AG46" i="21" s="1"/>
  <c r="P46" i="21"/>
  <c r="M46" i="21"/>
  <c r="K46" i="21"/>
  <c r="J46" i="21"/>
  <c r="AF46" i="21" s="1"/>
  <c r="I46" i="21"/>
  <c r="F46" i="21"/>
  <c r="Y45" i="21"/>
  <c r="X45" i="21"/>
  <c r="AH45" i="21" s="1"/>
  <c r="W45" i="21"/>
  <c r="T45" i="21"/>
  <c r="R45" i="21"/>
  <c r="Q45" i="21"/>
  <c r="AG45" i="21" s="1"/>
  <c r="P45" i="21"/>
  <c r="M45" i="21"/>
  <c r="K45" i="21"/>
  <c r="J45" i="21"/>
  <c r="AF45" i="21" s="1"/>
  <c r="I45" i="21"/>
  <c r="F45" i="21"/>
  <c r="Y44" i="21"/>
  <c r="X44" i="21"/>
  <c r="AH44" i="21" s="1"/>
  <c r="W44" i="21"/>
  <c r="T44" i="21"/>
  <c r="R44" i="21"/>
  <c r="Q44" i="21"/>
  <c r="AG44" i="21" s="1"/>
  <c r="P44" i="21"/>
  <c r="M44" i="21"/>
  <c r="K44" i="21"/>
  <c r="J44" i="21"/>
  <c r="AF44" i="21" s="1"/>
  <c r="I44" i="21"/>
  <c r="F44" i="21"/>
  <c r="Y43" i="21"/>
  <c r="X43" i="21"/>
  <c r="AH43" i="21" s="1"/>
  <c r="W43" i="21"/>
  <c r="T43" i="21"/>
  <c r="R43" i="21"/>
  <c r="Q43" i="21"/>
  <c r="AG43" i="21" s="1"/>
  <c r="P43" i="21"/>
  <c r="M43" i="21"/>
  <c r="K43" i="21"/>
  <c r="J43" i="21"/>
  <c r="AF43" i="21" s="1"/>
  <c r="I43" i="21"/>
  <c r="F43" i="21"/>
  <c r="Y42" i="21"/>
  <c r="X42" i="21"/>
  <c r="AH42" i="21" s="1"/>
  <c r="W42" i="21"/>
  <c r="T42" i="21"/>
  <c r="R42" i="21"/>
  <c r="Q42" i="21"/>
  <c r="AG42" i="21" s="1"/>
  <c r="P42" i="21"/>
  <c r="M42" i="21"/>
  <c r="K42" i="21"/>
  <c r="J42" i="21"/>
  <c r="AF42" i="21" s="1"/>
  <c r="I42" i="21"/>
  <c r="F42" i="21"/>
  <c r="Y41" i="21"/>
  <c r="X41" i="21"/>
  <c r="AH41" i="21" s="1"/>
  <c r="W41" i="21"/>
  <c r="T41" i="21"/>
  <c r="R41" i="21"/>
  <c r="Q41" i="21"/>
  <c r="AG41" i="21" s="1"/>
  <c r="P41" i="21"/>
  <c r="M41" i="21"/>
  <c r="K41" i="21"/>
  <c r="J41" i="21"/>
  <c r="AF41" i="21" s="1"/>
  <c r="I41" i="21"/>
  <c r="F41" i="21"/>
  <c r="Y40" i="21"/>
  <c r="X40" i="21"/>
  <c r="AH40" i="21" s="1"/>
  <c r="W40" i="21"/>
  <c r="T40" i="21"/>
  <c r="R40" i="21"/>
  <c r="Q40" i="21"/>
  <c r="AG40" i="21" s="1"/>
  <c r="P40" i="21"/>
  <c r="M40" i="21"/>
  <c r="K40" i="21"/>
  <c r="J40" i="21"/>
  <c r="AF40" i="21" s="1"/>
  <c r="I40" i="21"/>
  <c r="F40" i="21"/>
  <c r="Y39" i="21"/>
  <c r="X39" i="21"/>
  <c r="AH39" i="21" s="1"/>
  <c r="W39" i="21"/>
  <c r="T39" i="21"/>
  <c r="R39" i="21"/>
  <c r="Q39" i="21"/>
  <c r="AG39" i="21" s="1"/>
  <c r="P39" i="21"/>
  <c r="M39" i="21"/>
  <c r="K39" i="21"/>
  <c r="J39" i="21"/>
  <c r="AF39" i="21" s="1"/>
  <c r="I39" i="21"/>
  <c r="F39" i="21"/>
  <c r="Y38" i="21"/>
  <c r="X38" i="21"/>
  <c r="AH38" i="21" s="1"/>
  <c r="W38" i="21"/>
  <c r="T38" i="21"/>
  <c r="R38" i="21"/>
  <c r="Q38" i="21"/>
  <c r="AG38" i="21" s="1"/>
  <c r="P38" i="21"/>
  <c r="M38" i="21"/>
  <c r="K38" i="21"/>
  <c r="J38" i="21"/>
  <c r="AF38" i="21" s="1"/>
  <c r="I38" i="21"/>
  <c r="F38" i="21"/>
  <c r="AH221" i="21"/>
  <c r="AG221" i="21"/>
  <c r="AF221" i="21"/>
  <c r="Y100" i="21"/>
  <c r="X100" i="21"/>
  <c r="W100" i="21"/>
  <c r="T100" i="21"/>
  <c r="R100" i="21"/>
  <c r="Q100" i="21"/>
  <c r="P100" i="21"/>
  <c r="M100" i="21"/>
  <c r="K100" i="21"/>
  <c r="J100" i="21"/>
  <c r="I100" i="21"/>
  <c r="F100" i="21"/>
  <c r="Y91" i="21"/>
  <c r="X91" i="21"/>
  <c r="W91" i="21"/>
  <c r="T91" i="21"/>
  <c r="R91" i="21"/>
  <c r="Q91" i="21"/>
  <c r="P91" i="21"/>
  <c r="M91" i="21"/>
  <c r="K91" i="21"/>
  <c r="J91" i="21"/>
  <c r="I91" i="21"/>
  <c r="F91" i="21"/>
  <c r="Y62" i="21"/>
  <c r="X62" i="21"/>
  <c r="W62" i="21"/>
  <c r="T62" i="21"/>
  <c r="R62" i="21"/>
  <c r="Q62" i="21"/>
  <c r="P62" i="21"/>
  <c r="M62" i="21"/>
  <c r="K62" i="21"/>
  <c r="J62" i="21"/>
  <c r="I62" i="21"/>
  <c r="F62" i="21"/>
  <c r="D62" i="21"/>
  <c r="Y11" i="21"/>
  <c r="M12" i="21"/>
  <c r="P12" i="21"/>
  <c r="Q12" i="21"/>
  <c r="AG12" i="21" s="1"/>
  <c r="R12" i="21"/>
  <c r="M13" i="21"/>
  <c r="P13" i="21"/>
  <c r="Q13" i="21"/>
  <c r="AG13" i="21" s="1"/>
  <c r="R13" i="21"/>
  <c r="M14" i="21"/>
  <c r="P14" i="21"/>
  <c r="Q14" i="21"/>
  <c r="AG14" i="21" s="1"/>
  <c r="R14" i="21"/>
  <c r="M15" i="21"/>
  <c r="P15" i="21"/>
  <c r="Q15" i="21"/>
  <c r="AG15" i="21" s="1"/>
  <c r="R15" i="21"/>
  <c r="M16" i="21"/>
  <c r="P16" i="21"/>
  <c r="Q16" i="21"/>
  <c r="AG16" i="21" s="1"/>
  <c r="R16" i="21"/>
  <c r="M17" i="21"/>
  <c r="P17" i="21"/>
  <c r="Q17" i="21"/>
  <c r="AG17" i="21" s="1"/>
  <c r="R17" i="21"/>
  <c r="M18" i="21"/>
  <c r="P18" i="21"/>
  <c r="Q18" i="21"/>
  <c r="AG18" i="21" s="1"/>
  <c r="R18" i="21"/>
  <c r="M19" i="21"/>
  <c r="P19" i="21"/>
  <c r="Q19" i="21"/>
  <c r="AG19" i="21" s="1"/>
  <c r="R19" i="21"/>
  <c r="M20" i="21"/>
  <c r="P20" i="21"/>
  <c r="Q20" i="21"/>
  <c r="AG20" i="21" s="1"/>
  <c r="R20" i="21"/>
  <c r="M21" i="21"/>
  <c r="P21" i="21"/>
  <c r="Q21" i="21"/>
  <c r="AG21" i="21" s="1"/>
  <c r="R21" i="21"/>
  <c r="M22" i="21"/>
  <c r="P22" i="21"/>
  <c r="Q22" i="21"/>
  <c r="AG22" i="21" s="1"/>
  <c r="R22" i="21"/>
  <c r="M23" i="21"/>
  <c r="P23" i="21"/>
  <c r="Q23" i="21"/>
  <c r="AG23" i="21" s="1"/>
  <c r="R23" i="21"/>
  <c r="M24" i="21"/>
  <c r="P24" i="21"/>
  <c r="Q24" i="21"/>
  <c r="AG24" i="21" s="1"/>
  <c r="R24" i="21"/>
  <c r="M25" i="21"/>
  <c r="P25" i="21"/>
  <c r="Q25" i="21"/>
  <c r="AG25" i="21" s="1"/>
  <c r="R25" i="21"/>
  <c r="M26" i="21"/>
  <c r="P26" i="21"/>
  <c r="Q26" i="21"/>
  <c r="AG26" i="21" s="1"/>
  <c r="R26" i="21"/>
  <c r="M27" i="21"/>
  <c r="P27" i="21"/>
  <c r="Q27" i="21"/>
  <c r="AG27" i="21" s="1"/>
  <c r="R27" i="21"/>
  <c r="M28" i="21"/>
  <c r="P28" i="21"/>
  <c r="Q28" i="21"/>
  <c r="AG28" i="21" s="1"/>
  <c r="R28" i="21"/>
  <c r="M29" i="21"/>
  <c r="P29" i="21"/>
  <c r="Q29" i="21"/>
  <c r="AG29" i="21" s="1"/>
  <c r="R29" i="21"/>
  <c r="M30" i="21"/>
  <c r="P30" i="21"/>
  <c r="Q30" i="21"/>
  <c r="AG30" i="21" s="1"/>
  <c r="R30" i="21"/>
  <c r="M31" i="21"/>
  <c r="P31" i="21"/>
  <c r="Q31" i="21"/>
  <c r="AG31" i="21" s="1"/>
  <c r="R31" i="21"/>
  <c r="M32" i="21"/>
  <c r="P32" i="21"/>
  <c r="Q32" i="21"/>
  <c r="AG32" i="21" s="1"/>
  <c r="R32" i="21"/>
  <c r="M33" i="21"/>
  <c r="P33" i="21"/>
  <c r="Q33" i="21"/>
  <c r="AG33" i="21" s="1"/>
  <c r="R33" i="21"/>
  <c r="M34" i="21"/>
  <c r="P34" i="21"/>
  <c r="Q34" i="21"/>
  <c r="AG34" i="21" s="1"/>
  <c r="R34" i="21"/>
  <c r="M35" i="21"/>
  <c r="P35" i="21"/>
  <c r="Q35" i="21"/>
  <c r="R35" i="21"/>
  <c r="X11" i="21"/>
  <c r="W11" i="21"/>
  <c r="T11" i="21"/>
  <c r="R11" i="21"/>
  <c r="Q11" i="21"/>
  <c r="P11" i="21"/>
  <c r="M11" i="21"/>
  <c r="I12" i="21"/>
  <c r="J12" i="21"/>
  <c r="K12" i="21"/>
  <c r="I13" i="21"/>
  <c r="J13" i="21"/>
  <c r="K13" i="21"/>
  <c r="I14" i="21"/>
  <c r="J14" i="21"/>
  <c r="K14" i="21"/>
  <c r="I15" i="21"/>
  <c r="J15" i="21"/>
  <c r="K15" i="21"/>
  <c r="I16" i="21"/>
  <c r="J16" i="21"/>
  <c r="AF16" i="21" s="1"/>
  <c r="K16" i="21"/>
  <c r="I17" i="21"/>
  <c r="J17" i="21"/>
  <c r="AF17" i="21" s="1"/>
  <c r="K17" i="21"/>
  <c r="I18" i="21"/>
  <c r="J18" i="21"/>
  <c r="AF18" i="21" s="1"/>
  <c r="K18" i="21"/>
  <c r="I19" i="21"/>
  <c r="J19" i="21"/>
  <c r="AF19" i="21" s="1"/>
  <c r="K19" i="21"/>
  <c r="I20" i="21"/>
  <c r="J20" i="21"/>
  <c r="AF20" i="21" s="1"/>
  <c r="K20" i="21"/>
  <c r="I21" i="21"/>
  <c r="J21" i="21"/>
  <c r="AF21" i="21" s="1"/>
  <c r="K21" i="21"/>
  <c r="I22" i="21"/>
  <c r="J22" i="21"/>
  <c r="AF22" i="21" s="1"/>
  <c r="K22" i="21"/>
  <c r="I23" i="21"/>
  <c r="J23" i="21"/>
  <c r="AF23" i="21" s="1"/>
  <c r="K23" i="21"/>
  <c r="I24" i="21"/>
  <c r="J24" i="21"/>
  <c r="AF24" i="21" s="1"/>
  <c r="K24" i="21"/>
  <c r="I25" i="21"/>
  <c r="J25" i="21"/>
  <c r="AF25" i="21" s="1"/>
  <c r="K25" i="21"/>
  <c r="I26" i="21"/>
  <c r="J26" i="21"/>
  <c r="AF26" i="21" s="1"/>
  <c r="K26" i="21"/>
  <c r="I27" i="21"/>
  <c r="J27" i="21"/>
  <c r="AF27" i="21" s="1"/>
  <c r="K27" i="21"/>
  <c r="I28" i="21"/>
  <c r="J28" i="21"/>
  <c r="AF28" i="21" s="1"/>
  <c r="K28" i="21"/>
  <c r="I29" i="21"/>
  <c r="J29" i="21"/>
  <c r="AF29" i="21" s="1"/>
  <c r="K29" i="21"/>
  <c r="I30" i="21"/>
  <c r="J30" i="21"/>
  <c r="AF30" i="21" s="1"/>
  <c r="K30" i="21"/>
  <c r="I31" i="21"/>
  <c r="J31" i="21"/>
  <c r="AF31" i="21" s="1"/>
  <c r="K31" i="21"/>
  <c r="I32" i="21"/>
  <c r="J32" i="21"/>
  <c r="AF32" i="21" s="1"/>
  <c r="K32" i="21"/>
  <c r="I33" i="21"/>
  <c r="J33" i="21"/>
  <c r="AF33" i="21" s="1"/>
  <c r="K33" i="21"/>
  <c r="I34" i="21"/>
  <c r="J34" i="21"/>
  <c r="AF34" i="21" s="1"/>
  <c r="K34" i="21"/>
  <c r="I35" i="21"/>
  <c r="J35" i="21"/>
  <c r="K35" i="21"/>
  <c r="T35" i="21"/>
  <c r="T34" i="21"/>
  <c r="T33" i="21"/>
  <c r="T32" i="21"/>
  <c r="T31" i="21"/>
  <c r="T30" i="21"/>
  <c r="T29" i="21"/>
  <c r="T28" i="21"/>
  <c r="T27" i="21"/>
  <c r="T26" i="21"/>
  <c r="T25" i="21"/>
  <c r="T24" i="21"/>
  <c r="T23" i="21"/>
  <c r="T22" i="21"/>
  <c r="T21" i="21"/>
  <c r="T20" i="21"/>
  <c r="T19" i="21"/>
  <c r="T18" i="21"/>
  <c r="T17" i="21"/>
  <c r="T16" i="21"/>
  <c r="T15" i="21"/>
  <c r="T14" i="21"/>
  <c r="T13" i="21"/>
  <c r="T12" i="21"/>
  <c r="F12" i="21"/>
  <c r="F13" i="21"/>
  <c r="F14" i="21"/>
  <c r="F15" i="21"/>
  <c r="F16" i="21"/>
  <c r="F17" i="21"/>
  <c r="F18" i="21"/>
  <c r="F19" i="21"/>
  <c r="F20" i="21"/>
  <c r="F21" i="21"/>
  <c r="F22" i="21"/>
  <c r="F23" i="21"/>
  <c r="F24" i="21"/>
  <c r="F25" i="21"/>
  <c r="F26" i="21"/>
  <c r="F27" i="21"/>
  <c r="F28" i="21"/>
  <c r="F29" i="21"/>
  <c r="F30" i="21"/>
  <c r="F31" i="21"/>
  <c r="F32" i="21"/>
  <c r="F33" i="21"/>
  <c r="F34" i="21"/>
  <c r="F35" i="21"/>
  <c r="F11" i="21"/>
  <c r="AA221" i="21"/>
  <c r="W12" i="21"/>
  <c r="X12" i="21"/>
  <c r="AH12" i="21" s="1"/>
  <c r="Y12" i="21"/>
  <c r="W13" i="21"/>
  <c r="X13" i="21"/>
  <c r="AH13" i="21" s="1"/>
  <c r="Y13" i="21"/>
  <c r="W14" i="21"/>
  <c r="X14" i="21"/>
  <c r="AH14" i="21" s="1"/>
  <c r="Y14" i="21"/>
  <c r="W15" i="21"/>
  <c r="X15" i="21"/>
  <c r="AH15" i="21" s="1"/>
  <c r="Y15" i="21"/>
  <c r="W16" i="21"/>
  <c r="X16" i="21"/>
  <c r="AH16" i="21" s="1"/>
  <c r="Y16" i="21"/>
  <c r="W17" i="21"/>
  <c r="X17" i="21"/>
  <c r="AH17" i="21" s="1"/>
  <c r="Y17" i="21"/>
  <c r="W18" i="21"/>
  <c r="X18" i="21"/>
  <c r="AH18" i="21" s="1"/>
  <c r="Y18" i="21"/>
  <c r="W19" i="21"/>
  <c r="X19" i="21"/>
  <c r="AH19" i="21" s="1"/>
  <c r="Y19" i="21"/>
  <c r="W20" i="21"/>
  <c r="X20" i="21"/>
  <c r="AH20" i="21" s="1"/>
  <c r="Y20" i="21"/>
  <c r="W21" i="21"/>
  <c r="X21" i="21"/>
  <c r="AH21" i="21" s="1"/>
  <c r="Y21" i="21"/>
  <c r="W22" i="21"/>
  <c r="X22" i="21"/>
  <c r="AH22" i="21" s="1"/>
  <c r="Y22" i="21"/>
  <c r="W23" i="21"/>
  <c r="X23" i="21"/>
  <c r="AH23" i="21" s="1"/>
  <c r="Y23" i="21"/>
  <c r="W24" i="21"/>
  <c r="X24" i="21"/>
  <c r="AH24" i="21" s="1"/>
  <c r="Y24" i="21"/>
  <c r="W25" i="21"/>
  <c r="X25" i="21"/>
  <c r="AH25" i="21" s="1"/>
  <c r="Y25" i="21"/>
  <c r="W26" i="21"/>
  <c r="X26" i="21"/>
  <c r="AH26" i="21" s="1"/>
  <c r="Y26" i="21"/>
  <c r="W27" i="21"/>
  <c r="X27" i="21"/>
  <c r="AH27" i="21" s="1"/>
  <c r="Y27" i="21"/>
  <c r="W28" i="21"/>
  <c r="X28" i="21"/>
  <c r="AH28" i="21" s="1"/>
  <c r="Y28" i="21"/>
  <c r="W29" i="21"/>
  <c r="X29" i="21"/>
  <c r="AH29" i="21" s="1"/>
  <c r="Y29" i="21"/>
  <c r="W30" i="21"/>
  <c r="X30" i="21"/>
  <c r="AH30" i="21" s="1"/>
  <c r="Y30" i="21"/>
  <c r="W31" i="21"/>
  <c r="X31" i="21"/>
  <c r="AH31" i="21" s="1"/>
  <c r="Y31" i="21"/>
  <c r="W32" i="21"/>
  <c r="X32" i="21"/>
  <c r="AH32" i="21" s="1"/>
  <c r="Y32" i="21"/>
  <c r="W33" i="21"/>
  <c r="X33" i="21"/>
  <c r="AH33" i="21" s="1"/>
  <c r="Y33" i="21"/>
  <c r="W34" i="21"/>
  <c r="X34" i="21"/>
  <c r="AH34" i="21" s="1"/>
  <c r="Y34" i="21"/>
  <c r="W35" i="21"/>
  <c r="X35" i="21"/>
  <c r="Y35" i="21"/>
  <c r="AE10" i="21"/>
  <c r="D35" i="21"/>
  <c r="H21" i="3"/>
  <c r="P231" i="13" l="1"/>
  <c r="P214" i="13"/>
  <c r="P192" i="13"/>
  <c r="P189" i="13"/>
  <c r="P187" i="13"/>
  <c r="P183" i="13"/>
  <c r="P179" i="13"/>
  <c r="P175" i="13"/>
  <c r="P171" i="13"/>
  <c r="P169" i="13"/>
  <c r="P164" i="13"/>
  <c r="P162" i="13"/>
  <c r="P160" i="13"/>
  <c r="P155" i="13"/>
  <c r="P148" i="13"/>
  <c r="P144" i="13"/>
  <c r="P138" i="13"/>
  <c r="P134" i="13"/>
  <c r="P130" i="13"/>
  <c r="P126" i="13"/>
  <c r="P121" i="13"/>
  <c r="P117" i="13"/>
  <c r="P115" i="13"/>
  <c r="P113" i="13"/>
  <c r="P103" i="13"/>
  <c r="P100" i="13"/>
  <c r="P93" i="13"/>
  <c r="P90" i="13"/>
  <c r="P86" i="13"/>
  <c r="P83" i="13"/>
  <c r="P75" i="13"/>
  <c r="P69" i="13"/>
  <c r="P63" i="13"/>
  <c r="P59" i="13"/>
  <c r="P56" i="13"/>
  <c r="P51" i="13"/>
  <c r="P46" i="13"/>
  <c r="P39" i="13"/>
  <c r="P30" i="13"/>
  <c r="P26" i="13"/>
  <c r="P19" i="13"/>
  <c r="P16" i="13"/>
  <c r="P10" i="13"/>
  <c r="L17" i="3"/>
  <c r="Q9" i="13" s="1"/>
  <c r="O2" i="11"/>
  <c r="AB38" i="11"/>
  <c r="AB39" i="11"/>
  <c r="AB41" i="11"/>
  <c r="AB42" i="11"/>
  <c r="AB43" i="11"/>
  <c r="AB45" i="11"/>
  <c r="AB46" i="11"/>
  <c r="AB47" i="11"/>
  <c r="AB48" i="11"/>
  <c r="AB49" i="11"/>
  <c r="AB50" i="11"/>
  <c r="AB51" i="11"/>
  <c r="AB52" i="11"/>
  <c r="AB53" i="11"/>
  <c r="AB54" i="11"/>
  <c r="AB55" i="11"/>
  <c r="AB56" i="11"/>
  <c r="AB57" i="11"/>
  <c r="AB58" i="11"/>
  <c r="P152" i="13" l="1"/>
  <c r="P110" i="13"/>
  <c r="P123" i="13"/>
  <c r="P36" i="13"/>
  <c r="P97" i="13"/>
  <c r="P66" i="13"/>
  <c r="P166" i="13"/>
  <c r="P197" i="13"/>
  <c r="D218" i="13"/>
  <c r="X4" i="13"/>
  <c r="E7" i="5"/>
  <c r="D7" i="21" s="1"/>
  <c r="BP251" i="13"/>
  <c r="AF164" i="5"/>
  <c r="AE164" i="5"/>
  <c r="AD164" i="5"/>
  <c r="AF152" i="5"/>
  <c r="AE152" i="5"/>
  <c r="AD152" i="5"/>
  <c r="C13" i="11"/>
  <c r="B49" i="11" s="1"/>
  <c r="U7" i="5"/>
  <c r="N7" i="5"/>
  <c r="BP32" i="13"/>
  <c r="BQ32" i="13" s="1"/>
  <c r="BP33" i="13"/>
  <c r="BS33" i="13" s="1"/>
  <c r="BP34" i="13"/>
  <c r="BQ34" i="13" s="1"/>
  <c r="BP35" i="13"/>
  <c r="BQ35" i="13" s="1"/>
  <c r="BP39" i="13"/>
  <c r="BQ39" i="13" s="1"/>
  <c r="BP40" i="13"/>
  <c r="BS40" i="13" s="1"/>
  <c r="BP41" i="13"/>
  <c r="BQ41" i="13" s="1"/>
  <c r="BP42" i="13"/>
  <c r="BQ42" i="13" s="1"/>
  <c r="BP43" i="13"/>
  <c r="BQ43" i="13" s="1"/>
  <c r="BP44" i="13"/>
  <c r="BR44" i="13" s="1"/>
  <c r="BP45" i="13"/>
  <c r="BQ45" i="13" s="1"/>
  <c r="BP46" i="13"/>
  <c r="BQ46" i="13" s="1"/>
  <c r="BP47" i="13"/>
  <c r="BQ47" i="13" s="1"/>
  <c r="BP48" i="13"/>
  <c r="BS48" i="13" s="1"/>
  <c r="BP49" i="13"/>
  <c r="BP50" i="13"/>
  <c r="BQ50" i="13" s="1"/>
  <c r="BP51" i="13"/>
  <c r="BQ51" i="13" s="1"/>
  <c r="BP52" i="13"/>
  <c r="BQ52" i="13" s="1"/>
  <c r="BP53" i="13"/>
  <c r="BS53" i="13" s="1"/>
  <c r="BP54" i="13"/>
  <c r="BQ54" i="13" s="1"/>
  <c r="BP55" i="13"/>
  <c r="BQ55" i="13" s="1"/>
  <c r="BP56" i="13"/>
  <c r="BQ56" i="13" s="1"/>
  <c r="BP57" i="13"/>
  <c r="BS57" i="13" s="1"/>
  <c r="BP58" i="13"/>
  <c r="BQ58" i="13" s="1"/>
  <c r="BP59" i="13"/>
  <c r="BQ59" i="13" s="1"/>
  <c r="BP60" i="13"/>
  <c r="BQ60" i="13" s="1"/>
  <c r="BP61" i="13"/>
  <c r="BS61" i="13" s="1"/>
  <c r="BP62" i="13"/>
  <c r="BQ62" i="13" s="1"/>
  <c r="BP63" i="13"/>
  <c r="BQ63" i="13" s="1"/>
  <c r="BP64" i="13"/>
  <c r="BQ64" i="13" s="1"/>
  <c r="BP65" i="13"/>
  <c r="BS65" i="13" s="1"/>
  <c r="BP69" i="13"/>
  <c r="BQ69" i="13" s="1"/>
  <c r="BP70" i="13"/>
  <c r="BQ70" i="13" s="1"/>
  <c r="BP71" i="13"/>
  <c r="BQ71" i="13" s="1"/>
  <c r="BP72" i="13"/>
  <c r="BP73" i="13"/>
  <c r="BP74" i="13"/>
  <c r="BQ74" i="13" s="1"/>
  <c r="BP75" i="13"/>
  <c r="BQ75" i="13" s="1"/>
  <c r="BP76" i="13"/>
  <c r="BQ76" i="13" s="1"/>
  <c r="BP77" i="13"/>
  <c r="BS77" i="13" s="1"/>
  <c r="BP78" i="13"/>
  <c r="BQ78" i="13" s="1"/>
  <c r="BP79" i="13"/>
  <c r="BQ79" i="13" s="1"/>
  <c r="BP80" i="13"/>
  <c r="BQ80" i="13" s="1"/>
  <c r="BP81" i="13"/>
  <c r="BR81" i="13" s="1"/>
  <c r="BP82" i="13"/>
  <c r="BQ82" i="13" s="1"/>
  <c r="BP83" i="13"/>
  <c r="BQ83" i="13" s="1"/>
  <c r="BP84" i="13"/>
  <c r="BQ84" i="13" s="1"/>
  <c r="BP85" i="13"/>
  <c r="BQ85" i="13" s="1"/>
  <c r="BP86" i="13"/>
  <c r="BQ86" i="13" s="1"/>
  <c r="BP87" i="13"/>
  <c r="BQ87" i="13" s="1"/>
  <c r="BP88" i="13"/>
  <c r="BQ88" i="13" s="1"/>
  <c r="BP89" i="13"/>
  <c r="BS89" i="13" s="1"/>
  <c r="BP90" i="13"/>
  <c r="BQ90" i="13" s="1"/>
  <c r="BP91" i="13"/>
  <c r="BQ91" i="13" s="1"/>
  <c r="BP92" i="13"/>
  <c r="BQ92" i="13" s="1"/>
  <c r="BP93" i="13"/>
  <c r="BQ93" i="13" s="1"/>
  <c r="BP94" i="13"/>
  <c r="BQ94" i="13" s="1"/>
  <c r="BP95" i="13"/>
  <c r="BQ95" i="13" s="1"/>
  <c r="BP96" i="13"/>
  <c r="BQ96" i="13" s="1"/>
  <c r="BP100" i="13"/>
  <c r="BQ100" i="13" s="1"/>
  <c r="BP101" i="13"/>
  <c r="BP102" i="13"/>
  <c r="BP103" i="13"/>
  <c r="BQ103" i="13" s="1"/>
  <c r="BP104" i="13"/>
  <c r="BS104" i="13" s="1"/>
  <c r="BP105" i="13"/>
  <c r="BQ105" i="13" s="1"/>
  <c r="BP106" i="13"/>
  <c r="BQ106" i="13" s="1"/>
  <c r="BP107" i="13"/>
  <c r="BQ107" i="13" s="1"/>
  <c r="BP108" i="13"/>
  <c r="BQ108" i="13" s="1"/>
  <c r="BP109" i="13"/>
  <c r="BQ109" i="13" s="1"/>
  <c r="BP113" i="13"/>
  <c r="BQ113" i="13" s="1"/>
  <c r="BP114" i="13"/>
  <c r="BP115" i="13"/>
  <c r="BQ115" i="13" s="1"/>
  <c r="BP116" i="13"/>
  <c r="BS116" i="13" s="1"/>
  <c r="BP117" i="13"/>
  <c r="BQ117" i="13" s="1"/>
  <c r="BP118" i="13"/>
  <c r="BQ118" i="13" s="1"/>
  <c r="BP119" i="13"/>
  <c r="BQ119" i="13" s="1"/>
  <c r="BP120" i="13"/>
  <c r="BS120" i="13" s="1"/>
  <c r="BP121" i="13"/>
  <c r="BQ121" i="13" s="1"/>
  <c r="BP122" i="13"/>
  <c r="BQ122" i="13" s="1"/>
  <c r="BP126" i="13"/>
  <c r="BQ126" i="13" s="1"/>
  <c r="BP127" i="13"/>
  <c r="BR127" i="13" s="1"/>
  <c r="BP128" i="13"/>
  <c r="BP129" i="13"/>
  <c r="BP130" i="13"/>
  <c r="BQ130" i="13" s="1"/>
  <c r="BP131" i="13"/>
  <c r="BS131" i="13" s="1"/>
  <c r="BP132" i="13"/>
  <c r="BQ132" i="13" s="1"/>
  <c r="BP133" i="13"/>
  <c r="BQ133" i="13" s="1"/>
  <c r="BP134" i="13"/>
  <c r="BQ134" i="13" s="1"/>
  <c r="BP135" i="13"/>
  <c r="BS135" i="13" s="1"/>
  <c r="BP136" i="13"/>
  <c r="BQ136" i="13" s="1"/>
  <c r="BP137" i="13"/>
  <c r="BQ137" i="13" s="1"/>
  <c r="BP138" i="13"/>
  <c r="BQ138" i="13" s="1"/>
  <c r="BP139" i="13"/>
  <c r="BQ139" i="13" s="1"/>
  <c r="BP140" i="13"/>
  <c r="BQ140" i="13" s="1"/>
  <c r="BP141" i="13"/>
  <c r="BQ141" i="13" s="1"/>
  <c r="BP142" i="13"/>
  <c r="BQ142" i="13" s="1"/>
  <c r="BP143" i="13"/>
  <c r="BS143" i="13" s="1"/>
  <c r="BP144" i="13"/>
  <c r="BQ144" i="13" s="1"/>
  <c r="BP145" i="13"/>
  <c r="BP146" i="13"/>
  <c r="BP147" i="13"/>
  <c r="BP148" i="13"/>
  <c r="BQ148" i="13" s="1"/>
  <c r="BP149" i="13"/>
  <c r="BP150" i="13"/>
  <c r="BP151" i="13"/>
  <c r="BP155" i="13"/>
  <c r="BQ155" i="13" s="1"/>
  <c r="BP156" i="13"/>
  <c r="BP157" i="13"/>
  <c r="BS157" i="13" s="1"/>
  <c r="BP158" i="13"/>
  <c r="BP159" i="13"/>
  <c r="BQ159" i="13" s="1"/>
  <c r="BP160" i="13"/>
  <c r="BQ160" i="13" s="1"/>
  <c r="BP161" i="13"/>
  <c r="BQ161" i="13" s="1"/>
  <c r="BP162" i="13"/>
  <c r="BQ162" i="13" s="1"/>
  <c r="BP163" i="13"/>
  <c r="BQ163" i="13" s="1"/>
  <c r="BP164" i="13"/>
  <c r="BS164" i="13" s="1"/>
  <c r="BP165" i="13"/>
  <c r="BQ165" i="13" s="1"/>
  <c r="BP169" i="13"/>
  <c r="BQ169" i="13" s="1"/>
  <c r="BP170" i="13"/>
  <c r="BP171" i="13"/>
  <c r="BS171" i="13" s="1"/>
  <c r="BP172" i="13"/>
  <c r="BQ172" i="13" s="1"/>
  <c r="BP173" i="13"/>
  <c r="BP174" i="13"/>
  <c r="BP175" i="13"/>
  <c r="BQ175" i="13" s="1"/>
  <c r="BP176" i="13"/>
  <c r="BS176" i="13" s="1"/>
  <c r="BP177" i="13"/>
  <c r="BP178" i="13"/>
  <c r="BP179" i="13"/>
  <c r="BS179" i="13" s="1"/>
  <c r="BP180" i="13"/>
  <c r="BQ180" i="13" s="1"/>
  <c r="BP181" i="13"/>
  <c r="BQ181" i="13" s="1"/>
  <c r="BP182" i="13"/>
  <c r="BQ182" i="13" s="1"/>
  <c r="BP183" i="13"/>
  <c r="BS183" i="13" s="1"/>
  <c r="BP184" i="13"/>
  <c r="BQ184" i="13" s="1"/>
  <c r="BP185" i="13"/>
  <c r="BQ185" i="13" s="1"/>
  <c r="BP186" i="13"/>
  <c r="BQ186" i="13" s="1"/>
  <c r="BP187" i="13"/>
  <c r="BS187" i="13" s="1"/>
  <c r="BP188" i="13"/>
  <c r="BP189" i="13"/>
  <c r="BQ189" i="13" s="1"/>
  <c r="BP190" i="13"/>
  <c r="BQ190" i="13" s="1"/>
  <c r="BP191" i="13"/>
  <c r="BQ191" i="13" s="1"/>
  <c r="BP192" i="13"/>
  <c r="BS192" i="13" s="1"/>
  <c r="BP193" i="13"/>
  <c r="BQ193" i="13" s="1"/>
  <c r="BP194" i="13"/>
  <c r="BQ194" i="13" s="1"/>
  <c r="BP195" i="13"/>
  <c r="BQ195" i="13" s="1"/>
  <c r="BP196" i="13"/>
  <c r="BS196" i="13" s="1"/>
  <c r="BP200" i="13"/>
  <c r="BQ200" i="13" s="1"/>
  <c r="BP201" i="13"/>
  <c r="BQ201" i="13" s="1"/>
  <c r="BP202" i="13"/>
  <c r="BR202" i="13" s="1"/>
  <c r="BP203" i="13"/>
  <c r="BR203" i="13" s="1"/>
  <c r="BP204" i="13"/>
  <c r="BQ204" i="13" s="1"/>
  <c r="BP205" i="13"/>
  <c r="BQ205" i="13" s="1"/>
  <c r="BP206" i="13"/>
  <c r="BQ206" i="13" s="1"/>
  <c r="BP207" i="13"/>
  <c r="BS207" i="13" s="1"/>
  <c r="BP208" i="13"/>
  <c r="BQ208" i="13" s="1"/>
  <c r="BP209" i="13"/>
  <c r="BQ209" i="13" s="1"/>
  <c r="BP210" i="13"/>
  <c r="BR210" i="13" s="1"/>
  <c r="BP211" i="13"/>
  <c r="BS211" i="13" s="1"/>
  <c r="BP212" i="13"/>
  <c r="BQ212" i="13" s="1"/>
  <c r="BP213" i="13"/>
  <c r="BQ213" i="13" s="1"/>
  <c r="BP217" i="13"/>
  <c r="BQ217" i="13" s="1"/>
  <c r="BP218" i="13"/>
  <c r="BR218" i="13" s="1"/>
  <c r="BP219" i="13"/>
  <c r="BQ219" i="13" s="1"/>
  <c r="BP220" i="13"/>
  <c r="BQ220" i="13" s="1"/>
  <c r="BP221" i="13"/>
  <c r="BR221" i="13" s="1"/>
  <c r="BP222" i="13"/>
  <c r="BS222" i="13" s="1"/>
  <c r="BP223" i="13"/>
  <c r="BQ223" i="13" s="1"/>
  <c r="BP224" i="13"/>
  <c r="BQ224" i="13" s="1"/>
  <c r="BP225" i="13"/>
  <c r="BP226" i="13"/>
  <c r="BQ226" i="13" s="1"/>
  <c r="BP227" i="13"/>
  <c r="BS227" i="13" s="1"/>
  <c r="BP228" i="13"/>
  <c r="BQ228" i="13" s="1"/>
  <c r="BP229" i="13"/>
  <c r="BQ229" i="13" s="1"/>
  <c r="BP230" i="13"/>
  <c r="BS230" i="13" s="1"/>
  <c r="BP234" i="13"/>
  <c r="BR234" i="13" s="1"/>
  <c r="BP235" i="13"/>
  <c r="BQ235" i="13" s="1"/>
  <c r="BP236" i="13"/>
  <c r="BQ236" i="13" s="1"/>
  <c r="BP237" i="13"/>
  <c r="BP238" i="13"/>
  <c r="BP239" i="13"/>
  <c r="BQ239" i="13" s="1"/>
  <c r="BP240" i="13"/>
  <c r="BQ240" i="13" s="1"/>
  <c r="BP241" i="13"/>
  <c r="BP242" i="13"/>
  <c r="BS242" i="13" s="1"/>
  <c r="BP243" i="13"/>
  <c r="BQ243" i="13" s="1"/>
  <c r="BP244" i="13"/>
  <c r="BQ244" i="13" s="1"/>
  <c r="BP245" i="13"/>
  <c r="BR245" i="13" s="1"/>
  <c r="BP246" i="13"/>
  <c r="BR246" i="13" s="1"/>
  <c r="BP247" i="13"/>
  <c r="BQ247" i="13" s="1"/>
  <c r="BP248" i="13"/>
  <c r="BQ248" i="13" s="1"/>
  <c r="BP11" i="13"/>
  <c r="BR11" i="13" s="1"/>
  <c r="BP12" i="13"/>
  <c r="BP13" i="13"/>
  <c r="BS13" i="13" s="1"/>
  <c r="BP14" i="13"/>
  <c r="BR14" i="13" s="1"/>
  <c r="BP15" i="13"/>
  <c r="BQ15" i="13" s="1"/>
  <c r="BP16" i="13"/>
  <c r="BQ16" i="13" s="1"/>
  <c r="BP17" i="13"/>
  <c r="BS17" i="13" s="1"/>
  <c r="BP18" i="13"/>
  <c r="BR18" i="13" s="1"/>
  <c r="BP19" i="13"/>
  <c r="BR19" i="13" s="1"/>
  <c r="BP20" i="13"/>
  <c r="BR20" i="13" s="1"/>
  <c r="BP21" i="13"/>
  <c r="BQ21" i="13" s="1"/>
  <c r="BP22" i="13"/>
  <c r="BP23" i="13"/>
  <c r="BP24" i="13"/>
  <c r="BP25" i="13"/>
  <c r="BP26" i="13"/>
  <c r="BS26" i="13" s="1"/>
  <c r="BP27" i="13"/>
  <c r="BR27" i="13" s="1"/>
  <c r="BP28" i="13"/>
  <c r="BQ28" i="13" s="1"/>
  <c r="BP29" i="13"/>
  <c r="BS29" i="13" s="1"/>
  <c r="BP30" i="13"/>
  <c r="BS30" i="13" s="1"/>
  <c r="BP31" i="13"/>
  <c r="BQ31" i="13" s="1"/>
  <c r="BP10" i="13"/>
  <c r="BS10" i="13" s="1"/>
  <c r="P256" i="13" l="1"/>
  <c r="BR157" i="13"/>
  <c r="BQ127" i="13"/>
  <c r="BR94" i="13"/>
  <c r="BQ81" i="13"/>
  <c r="BR57" i="13"/>
  <c r="BQ157" i="13"/>
  <c r="BQ120" i="13"/>
  <c r="BS93" i="13"/>
  <c r="BQ77" i="13"/>
  <c r="BQ57" i="13"/>
  <c r="BS140" i="13"/>
  <c r="BS109" i="13"/>
  <c r="BR93" i="13"/>
  <c r="BS54" i="13"/>
  <c r="BR140" i="13"/>
  <c r="BR109" i="13"/>
  <c r="BR54" i="13"/>
  <c r="BS139" i="13"/>
  <c r="BS108" i="13"/>
  <c r="BQ89" i="13"/>
  <c r="BQ53" i="13"/>
  <c r="BR139" i="13"/>
  <c r="BR108" i="13"/>
  <c r="BS85" i="13"/>
  <c r="BS69" i="13"/>
  <c r="BQ48" i="13"/>
  <c r="BQ19" i="13"/>
  <c r="BR85" i="13"/>
  <c r="BR69" i="13"/>
  <c r="BS45" i="13"/>
  <c r="BR26" i="13"/>
  <c r="BQ135" i="13"/>
  <c r="BQ104" i="13"/>
  <c r="BQ65" i="13"/>
  <c r="BR45" i="13"/>
  <c r="BS100" i="13"/>
  <c r="BS82" i="13"/>
  <c r="BQ61" i="13"/>
  <c r="BS44" i="13"/>
  <c r="BR13" i="13"/>
  <c r="BR100" i="13"/>
  <c r="BR82" i="13"/>
  <c r="BS58" i="13"/>
  <c r="BQ44" i="13"/>
  <c r="BR196" i="13"/>
  <c r="BS127" i="13"/>
  <c r="BS81" i="13"/>
  <c r="BR58" i="13"/>
  <c r="BQ33" i="13"/>
  <c r="BS94" i="13"/>
  <c r="BQ20" i="13"/>
  <c r="BR30" i="13"/>
  <c r="BR17" i="13"/>
  <c r="BQ210" i="13"/>
  <c r="BR143" i="13"/>
  <c r="BR135" i="13"/>
  <c r="BR131" i="13"/>
  <c r="BR120" i="13"/>
  <c r="BR116" i="13"/>
  <c r="BR104" i="13"/>
  <c r="BR89" i="13"/>
  <c r="BR77" i="13"/>
  <c r="BR65" i="13"/>
  <c r="BR61" i="13"/>
  <c r="BR53" i="13"/>
  <c r="BR48" i="13"/>
  <c r="BR40" i="13"/>
  <c r="BR33" i="13"/>
  <c r="BQ11" i="13"/>
  <c r="BQ18" i="13"/>
  <c r="BR29" i="13"/>
  <c r="BR16" i="13"/>
  <c r="BQ196" i="13"/>
  <c r="BS155" i="13"/>
  <c r="BS142" i="13"/>
  <c r="BS138" i="13"/>
  <c r="BS134" i="13"/>
  <c r="BS130" i="13"/>
  <c r="BS126" i="13"/>
  <c r="BS119" i="13"/>
  <c r="BS115" i="13"/>
  <c r="BS107" i="13"/>
  <c r="BS103" i="13"/>
  <c r="BS96" i="13"/>
  <c r="BS92" i="13"/>
  <c r="BS88" i="13"/>
  <c r="BS84" i="13"/>
  <c r="BS80" i="13"/>
  <c r="BS76" i="13"/>
  <c r="BS71" i="13"/>
  <c r="BS64" i="13"/>
  <c r="BS60" i="13"/>
  <c r="BS56" i="13"/>
  <c r="BS52" i="13"/>
  <c r="BS47" i="13"/>
  <c r="BS43" i="13"/>
  <c r="BS39" i="13"/>
  <c r="BS32" i="13"/>
  <c r="BQ116" i="13"/>
  <c r="BQ40" i="13"/>
  <c r="BQ30" i="13"/>
  <c r="BQ17" i="13"/>
  <c r="BS28" i="13"/>
  <c r="BS21" i="13"/>
  <c r="BS15" i="13"/>
  <c r="BQ192" i="13"/>
  <c r="BR155" i="13"/>
  <c r="BR142" i="13"/>
  <c r="BR138" i="13"/>
  <c r="BR134" i="13"/>
  <c r="BR130" i="13"/>
  <c r="BR126" i="13"/>
  <c r="BR119" i="13"/>
  <c r="BR115" i="13"/>
  <c r="BR107" i="13"/>
  <c r="BR103" i="13"/>
  <c r="BR96" i="13"/>
  <c r="BR92" i="13"/>
  <c r="BR88" i="13"/>
  <c r="BR84" i="13"/>
  <c r="BR80" i="13"/>
  <c r="BR76" i="13"/>
  <c r="BR71" i="13"/>
  <c r="BR64" i="13"/>
  <c r="BR60" i="13"/>
  <c r="BR56" i="13"/>
  <c r="BR52" i="13"/>
  <c r="BR47" i="13"/>
  <c r="BR43" i="13"/>
  <c r="BR39" i="13"/>
  <c r="BR32" i="13"/>
  <c r="BS16" i="13"/>
  <c r="BQ143" i="13"/>
  <c r="BQ29" i="13"/>
  <c r="BR28" i="13"/>
  <c r="BR21" i="13"/>
  <c r="BR15" i="13"/>
  <c r="BS186" i="13"/>
  <c r="BQ131" i="13"/>
  <c r="BS27" i="13"/>
  <c r="BS20" i="13"/>
  <c r="BS14" i="13"/>
  <c r="BR183" i="13"/>
  <c r="BS148" i="13"/>
  <c r="BS141" i="13"/>
  <c r="BS137" i="13"/>
  <c r="BS133" i="13"/>
  <c r="BS122" i="13"/>
  <c r="BS118" i="13"/>
  <c r="BS113" i="13"/>
  <c r="BS106" i="13"/>
  <c r="BS95" i="13"/>
  <c r="BS91" i="13"/>
  <c r="BS87" i="13"/>
  <c r="BS83" i="13"/>
  <c r="BS79" i="13"/>
  <c r="BS75" i="13"/>
  <c r="BS70" i="13"/>
  <c r="BS63" i="13"/>
  <c r="BS59" i="13"/>
  <c r="BS55" i="13"/>
  <c r="BS51" i="13"/>
  <c r="BS46" i="13"/>
  <c r="BS42" i="13"/>
  <c r="BS35" i="13"/>
  <c r="BS31" i="13"/>
  <c r="BQ27" i="13"/>
  <c r="BQ14" i="13"/>
  <c r="BR148" i="13"/>
  <c r="BR141" i="13"/>
  <c r="BR137" i="13"/>
  <c r="BR133" i="13"/>
  <c r="BR122" i="13"/>
  <c r="BR118" i="13"/>
  <c r="BR113" i="13"/>
  <c r="BR106" i="13"/>
  <c r="BR95" i="13"/>
  <c r="BR91" i="13"/>
  <c r="BR87" i="13"/>
  <c r="BR83" i="13"/>
  <c r="BR79" i="13"/>
  <c r="BR75" i="13"/>
  <c r="BR70" i="13"/>
  <c r="BR63" i="13"/>
  <c r="BR59" i="13"/>
  <c r="BR55" i="13"/>
  <c r="BR51" i="13"/>
  <c r="BR46" i="13"/>
  <c r="BR42" i="13"/>
  <c r="BR35" i="13"/>
  <c r="BR31" i="13"/>
  <c r="BQ26" i="13"/>
  <c r="BQ13" i="13"/>
  <c r="BS19" i="13"/>
  <c r="BS161" i="13"/>
  <c r="BQ10" i="13"/>
  <c r="BS159" i="13"/>
  <c r="BS144" i="13"/>
  <c r="BS136" i="13"/>
  <c r="BS132" i="13"/>
  <c r="BS121" i="13"/>
  <c r="BS117" i="13"/>
  <c r="BS105" i="13"/>
  <c r="BS90" i="13"/>
  <c r="BS86" i="13"/>
  <c r="BS78" i="13"/>
  <c r="BS74" i="13"/>
  <c r="BS62" i="13"/>
  <c r="BS50" i="13"/>
  <c r="BS41" i="13"/>
  <c r="BS34" i="13"/>
  <c r="BR10" i="13"/>
  <c r="BS18" i="13"/>
  <c r="BS11" i="13"/>
  <c r="BR159" i="13"/>
  <c r="BR144" i="13"/>
  <c r="BR136" i="13"/>
  <c r="BR132" i="13"/>
  <c r="BR121" i="13"/>
  <c r="BR117" i="13"/>
  <c r="BR105" i="13"/>
  <c r="BR90" i="13"/>
  <c r="BR86" i="13"/>
  <c r="BR78" i="13"/>
  <c r="BR74" i="13"/>
  <c r="BR62" i="13"/>
  <c r="BR50" i="13"/>
  <c r="BR41" i="13"/>
  <c r="BR34" i="13"/>
  <c r="BS226" i="13"/>
  <c r="BR226" i="13"/>
  <c r="BR207" i="13"/>
  <c r="BS191" i="13"/>
  <c r="BQ179" i="13"/>
  <c r="BR161" i="13"/>
  <c r="BQ242" i="13"/>
  <c r="BS248" i="13"/>
  <c r="BQ207" i="13"/>
  <c r="BR191" i="13"/>
  <c r="BR171" i="13"/>
  <c r="BR222" i="13"/>
  <c r="BS206" i="13"/>
  <c r="BQ171" i="13"/>
  <c r="BS160" i="13"/>
  <c r="BR179" i="13"/>
  <c r="BR242" i="13"/>
  <c r="BQ222" i="13"/>
  <c r="BR206" i="13"/>
  <c r="BR187" i="13"/>
  <c r="BR160" i="13"/>
  <c r="BS221" i="13"/>
  <c r="BQ187" i="13"/>
  <c r="BR248" i="13"/>
  <c r="BR211" i="13"/>
  <c r="BS195" i="13"/>
  <c r="BQ183" i="13"/>
  <c r="BQ164" i="13"/>
  <c r="BQ221" i="13"/>
  <c r="BQ211" i="13"/>
  <c r="BR195" i="13"/>
  <c r="BS182" i="13"/>
  <c r="BS163" i="13"/>
  <c r="BS247" i="13"/>
  <c r="BS236" i="13"/>
  <c r="BR227" i="13"/>
  <c r="BS210" i="13"/>
  <c r="BR182" i="13"/>
  <c r="BR163" i="13"/>
  <c r="BR247" i="13"/>
  <c r="BR164" i="13"/>
  <c r="BR236" i="13"/>
  <c r="BQ227" i="13"/>
  <c r="BR192" i="13"/>
  <c r="BS217" i="13"/>
  <c r="BS234" i="13"/>
  <c r="BQ245" i="13"/>
  <c r="BQ203" i="13"/>
  <c r="BQ230" i="13"/>
  <c r="BQ176" i="13"/>
  <c r="BS229" i="13"/>
  <c r="BS224" i="13"/>
  <c r="BS220" i="13"/>
  <c r="BS213" i="13"/>
  <c r="BS209" i="13"/>
  <c r="BS205" i="13"/>
  <c r="BS201" i="13"/>
  <c r="BS194" i="13"/>
  <c r="BS190" i="13"/>
  <c r="BS185" i="13"/>
  <c r="BS181" i="13"/>
  <c r="BS175" i="13"/>
  <c r="BS169" i="13"/>
  <c r="BS162" i="13"/>
  <c r="BS244" i="13"/>
  <c r="BS240" i="13"/>
  <c r="BS235" i="13"/>
  <c r="BQ234" i="13"/>
  <c r="BR217" i="13"/>
  <c r="BQ202" i="13"/>
  <c r="BR229" i="13"/>
  <c r="BR224" i="13"/>
  <c r="BR220" i="13"/>
  <c r="BR213" i="13"/>
  <c r="BR209" i="13"/>
  <c r="BR205" i="13"/>
  <c r="BR201" i="13"/>
  <c r="BR194" i="13"/>
  <c r="BR190" i="13"/>
  <c r="BR185" i="13"/>
  <c r="BR181" i="13"/>
  <c r="BR175" i="13"/>
  <c r="BR169" i="13"/>
  <c r="BR162" i="13"/>
  <c r="BR244" i="13"/>
  <c r="BR240" i="13"/>
  <c r="BR235" i="13"/>
  <c r="BS228" i="13"/>
  <c r="BS223" i="13"/>
  <c r="BS219" i="13"/>
  <c r="BS212" i="13"/>
  <c r="BS208" i="13"/>
  <c r="BS204" i="13"/>
  <c r="BS200" i="13"/>
  <c r="BS193" i="13"/>
  <c r="BS189" i="13"/>
  <c r="BS184" i="13"/>
  <c r="BS180" i="13"/>
  <c r="BS172" i="13"/>
  <c r="BS165" i="13"/>
  <c r="BS243" i="13"/>
  <c r="BS239" i="13"/>
  <c r="BS245" i="13"/>
  <c r="BR228" i="13"/>
  <c r="BR223" i="13"/>
  <c r="BR219" i="13"/>
  <c r="BR212" i="13"/>
  <c r="BR208" i="13"/>
  <c r="BR204" i="13"/>
  <c r="BR200" i="13"/>
  <c r="BR193" i="13"/>
  <c r="BR189" i="13"/>
  <c r="BR184" i="13"/>
  <c r="BR180" i="13"/>
  <c r="BR172" i="13"/>
  <c r="BR165" i="13"/>
  <c r="BR243" i="13"/>
  <c r="BR239" i="13"/>
  <c r="BQ218" i="13"/>
  <c r="BQ246" i="13"/>
  <c r="BS202" i="13"/>
  <c r="BR230" i="13"/>
  <c r="BR176" i="13"/>
  <c r="BR186" i="13"/>
  <c r="BS218" i="13"/>
  <c r="BS203" i="13"/>
  <c r="BS246" i="13"/>
  <c r="BR339" i="13" l="1"/>
  <c r="AF188" i="5"/>
  <c r="AE188" i="5"/>
  <c r="AD188" i="5"/>
  <c r="BI195" i="13"/>
  <c r="BJ195" i="13" s="1"/>
  <c r="BF195" i="13"/>
  <c r="BG195" i="13" s="1"/>
  <c r="BC195" i="13"/>
  <c r="BD195" i="13" s="1"/>
  <c r="B195" i="13"/>
  <c r="T122" i="13" l="1"/>
  <c r="T121" i="13" s="1"/>
  <c r="BI40" i="13"/>
  <c r="BJ40" i="13" s="1"/>
  <c r="BF40" i="13"/>
  <c r="BG40" i="13" s="1"/>
  <c r="BC40" i="13"/>
  <c r="BD40" i="13" s="1"/>
  <c r="AF39" i="5"/>
  <c r="AE39" i="5"/>
  <c r="AD39" i="5"/>
  <c r="C39" i="5"/>
  <c r="C40" i="5"/>
  <c r="J39" i="13"/>
  <c r="T201" i="13" l="1"/>
  <c r="BI178" i="13" l="1"/>
  <c r="BJ178" i="13" s="1"/>
  <c r="BF178" i="13"/>
  <c r="BG178" i="13" s="1"/>
  <c r="BC178" i="13"/>
  <c r="BD178" i="13" s="1"/>
  <c r="BI177" i="13"/>
  <c r="BJ177" i="13" s="1"/>
  <c r="BF177" i="13"/>
  <c r="BG177" i="13" s="1"/>
  <c r="BC177" i="13"/>
  <c r="BD177" i="13" s="1"/>
  <c r="AH258" i="13"/>
  <c r="AH257" i="13"/>
  <c r="AF15" i="5" l="1"/>
  <c r="AE15" i="5"/>
  <c r="AD15" i="5"/>
  <c r="H158" i="16"/>
  <c r="H140" i="16"/>
  <c r="H139" i="16"/>
  <c r="H22" i="16"/>
  <c r="H21" i="16"/>
  <c r="H20" i="16"/>
  <c r="H19" i="16"/>
  <c r="T88" i="13"/>
  <c r="T87" i="13"/>
  <c r="H86" i="16"/>
  <c r="H85" i="16"/>
  <c r="H7" i="16"/>
  <c r="T85" i="13"/>
  <c r="T84" i="13"/>
  <c r="T83" i="13" s="1"/>
  <c r="AF98" i="5" l="1"/>
  <c r="AE98" i="5"/>
  <c r="AD98" i="5"/>
  <c r="BI88" i="13"/>
  <c r="BJ88" i="13" s="1"/>
  <c r="BF88" i="13"/>
  <c r="BG88" i="13" s="1"/>
  <c r="BC88" i="13"/>
  <c r="BD88" i="13" s="1"/>
  <c r="AF84" i="5"/>
  <c r="AE84" i="5"/>
  <c r="AD84" i="5"/>
  <c r="C84" i="5"/>
  <c r="B88" i="13"/>
  <c r="Y88" i="13" s="1"/>
  <c r="G75" i="13"/>
  <c r="M59" i="13"/>
  <c r="L59" i="13"/>
  <c r="G59" i="13"/>
  <c r="M56" i="13"/>
  <c r="L56" i="13"/>
  <c r="G56" i="13"/>
  <c r="AF26" i="5"/>
  <c r="AE26" i="5"/>
  <c r="AD26" i="5"/>
  <c r="AF25" i="5"/>
  <c r="AE25" i="5"/>
  <c r="AD25" i="5"/>
  <c r="B23" i="13"/>
  <c r="B24" i="13"/>
  <c r="AF196" i="5" l="1"/>
  <c r="AE196" i="5"/>
  <c r="AD196" i="5"/>
  <c r="K187" i="13"/>
  <c r="BI143" i="13"/>
  <c r="BJ143" i="13" s="1"/>
  <c r="BF143" i="13"/>
  <c r="BG143" i="13" s="1"/>
  <c r="BC143" i="13"/>
  <c r="BD143" i="13" s="1"/>
  <c r="AF134" i="5"/>
  <c r="AE134" i="5"/>
  <c r="AD134" i="5"/>
  <c r="H137" i="16"/>
  <c r="Q138" i="13"/>
  <c r="O138" i="13"/>
  <c r="N138" i="13"/>
  <c r="M138" i="13"/>
  <c r="L138" i="13"/>
  <c r="K138" i="13"/>
  <c r="J138" i="13"/>
  <c r="I138" i="13"/>
  <c r="H138" i="13"/>
  <c r="G138" i="13"/>
  <c r="F138" i="13"/>
  <c r="E138" i="13"/>
  <c r="B143" i="13"/>
  <c r="H8" i="16" l="1"/>
  <c r="H9" i="16"/>
  <c r="H10" i="16"/>
  <c r="H11" i="16"/>
  <c r="H12" i="16"/>
  <c r="H13" i="16"/>
  <c r="H14" i="16"/>
  <c r="H15" i="16"/>
  <c r="H16" i="16"/>
  <c r="H17" i="16"/>
  <c r="H18" i="16"/>
  <c r="Y23" i="13"/>
  <c r="Y24" i="13"/>
  <c r="H23" i="16"/>
  <c r="H24" i="16"/>
  <c r="H25" i="16"/>
  <c r="H26" i="16"/>
  <c r="H27" i="16"/>
  <c r="H28" i="16"/>
  <c r="H29" i="16"/>
  <c r="H30" i="16"/>
  <c r="H31" i="16"/>
  <c r="H32" i="16"/>
  <c r="H33" i="16"/>
  <c r="H34" i="16"/>
  <c r="H35" i="16"/>
  <c r="H36"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9" i="16"/>
  <c r="H80" i="16"/>
  <c r="H81" i="16"/>
  <c r="H82" i="16"/>
  <c r="H83" i="16"/>
  <c r="H84"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8" i="16"/>
  <c r="Y143" i="13"/>
  <c r="H141" i="16"/>
  <c r="H142" i="16"/>
  <c r="H143" i="16"/>
  <c r="H144" i="16"/>
  <c r="H145" i="16"/>
  <c r="H146" i="16"/>
  <c r="H147" i="16"/>
  <c r="H148" i="16"/>
  <c r="H149" i="16"/>
  <c r="H150" i="16"/>
  <c r="H151" i="16"/>
  <c r="H152" i="16"/>
  <c r="H153" i="16"/>
  <c r="H154" i="16"/>
  <c r="H155" i="16"/>
  <c r="H156" i="16"/>
  <c r="H157"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3" i="16"/>
  <c r="Y195" i="13" s="1"/>
  <c r="H194" i="16"/>
  <c r="H195" i="16"/>
  <c r="H196" i="16"/>
  <c r="H197" i="16"/>
  <c r="H198" i="16"/>
  <c r="H200" i="16" s="1"/>
  <c r="H201" i="16"/>
  <c r="H202" i="16"/>
  <c r="H203" i="16" s="1"/>
  <c r="H204" i="16"/>
  <c r="H205" i="16"/>
  <c r="H206" i="16"/>
  <c r="H207" i="16" s="1"/>
  <c r="H208" i="16"/>
  <c r="H209" i="16"/>
  <c r="H210" i="16" s="1"/>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BI213" i="13"/>
  <c r="BJ213" i="13" s="1"/>
  <c r="BF213" i="13"/>
  <c r="BG213" i="13" s="1"/>
  <c r="BC213" i="13"/>
  <c r="BD213" i="13" s="1"/>
  <c r="BI212" i="13"/>
  <c r="BJ212" i="13" s="1"/>
  <c r="BF212" i="13"/>
  <c r="BG212" i="13" s="1"/>
  <c r="BC212" i="13"/>
  <c r="BD212" i="13" s="1"/>
  <c r="BI196" i="13"/>
  <c r="BJ196" i="13" s="1"/>
  <c r="BF196" i="13"/>
  <c r="BG196" i="13" s="1"/>
  <c r="BC196" i="13"/>
  <c r="BD196" i="13" s="1"/>
  <c r="BI194" i="13"/>
  <c r="BJ194" i="13" s="1"/>
  <c r="BF194" i="13"/>
  <c r="BG194" i="13" s="1"/>
  <c r="BC194" i="13"/>
  <c r="BD194" i="13" s="1"/>
  <c r="BI193" i="13"/>
  <c r="BJ193" i="13" s="1"/>
  <c r="BF193" i="13"/>
  <c r="BG193" i="13" s="1"/>
  <c r="BC193" i="13"/>
  <c r="BD193" i="13" s="1"/>
  <c r="BI149" i="13"/>
  <c r="BJ149" i="13" s="1"/>
  <c r="BF149" i="13"/>
  <c r="BG149" i="13" s="1"/>
  <c r="BC149" i="13"/>
  <c r="BD149" i="13" s="1"/>
  <c r="AF197" i="5"/>
  <c r="AE197" i="5"/>
  <c r="AD197" i="5"/>
  <c r="AF195" i="5"/>
  <c r="AE195" i="5"/>
  <c r="AD195" i="5"/>
  <c r="BC205" i="13"/>
  <c r="BD205" i="13" s="1"/>
  <c r="BF205" i="13"/>
  <c r="BG205" i="13" s="1"/>
  <c r="BI205" i="13"/>
  <c r="BJ205" i="13" s="1"/>
  <c r="BC206" i="13"/>
  <c r="BD206" i="13" s="1"/>
  <c r="BF206" i="13"/>
  <c r="BG206" i="13" s="1"/>
  <c r="BI206" i="13"/>
  <c r="BJ206" i="13" s="1"/>
  <c r="BC209" i="13"/>
  <c r="BD209" i="13" s="1"/>
  <c r="BF209" i="13"/>
  <c r="BG209" i="13" s="1"/>
  <c r="BI209" i="13"/>
  <c r="BJ209" i="13" s="1"/>
  <c r="BC210" i="13"/>
  <c r="BD210" i="13" s="1"/>
  <c r="BF210" i="13"/>
  <c r="BG210" i="13" s="1"/>
  <c r="BI210" i="13"/>
  <c r="BJ210" i="13" s="1"/>
  <c r="BC201" i="13"/>
  <c r="BD201" i="13" s="1"/>
  <c r="BF201" i="13"/>
  <c r="BG201" i="13" s="1"/>
  <c r="BI201" i="13"/>
  <c r="BJ201" i="13" s="1"/>
  <c r="BC202" i="13"/>
  <c r="BD202" i="13" s="1"/>
  <c r="BF202" i="13"/>
  <c r="BG202" i="13" s="1"/>
  <c r="BI202" i="13"/>
  <c r="BJ202" i="13" s="1"/>
  <c r="BC203" i="13"/>
  <c r="BD203" i="13" s="1"/>
  <c r="BF203" i="13"/>
  <c r="BG203" i="13" s="1"/>
  <c r="BI203" i="13"/>
  <c r="BJ203" i="13" s="1"/>
  <c r="BC172" i="13"/>
  <c r="BD172" i="13" s="1"/>
  <c r="BF172" i="13"/>
  <c r="BG172" i="13" s="1"/>
  <c r="BI172" i="13"/>
  <c r="BJ172" i="13" s="1"/>
  <c r="BC174" i="13"/>
  <c r="BD174" i="13" s="1"/>
  <c r="BF174" i="13"/>
  <c r="BG174" i="13" s="1"/>
  <c r="BI174" i="13"/>
  <c r="BJ174" i="13" s="1"/>
  <c r="BC176" i="13"/>
  <c r="BD176" i="13" s="1"/>
  <c r="BF176" i="13"/>
  <c r="BG176" i="13" s="1"/>
  <c r="BI176" i="13"/>
  <c r="BJ176" i="13" s="1"/>
  <c r="BC180" i="13"/>
  <c r="BD180" i="13" s="1"/>
  <c r="BF180" i="13"/>
  <c r="BG180" i="13" s="1"/>
  <c r="BI180" i="13"/>
  <c r="BJ180" i="13" s="1"/>
  <c r="BC182" i="13"/>
  <c r="BD182" i="13" s="1"/>
  <c r="BF182" i="13"/>
  <c r="BG182" i="13" s="1"/>
  <c r="BI182" i="13"/>
  <c r="BJ182" i="13" s="1"/>
  <c r="BC184" i="13"/>
  <c r="BD184" i="13" s="1"/>
  <c r="BF184" i="13"/>
  <c r="BG184" i="13" s="1"/>
  <c r="BI184" i="13"/>
  <c r="BJ184" i="13" s="1"/>
  <c r="BC185" i="13"/>
  <c r="BD185" i="13" s="1"/>
  <c r="BF185" i="13"/>
  <c r="BG185" i="13" s="1"/>
  <c r="BI185" i="13"/>
  <c r="BJ185" i="13" s="1"/>
  <c r="BC186" i="13"/>
  <c r="BD186" i="13" s="1"/>
  <c r="BF186" i="13"/>
  <c r="BG186" i="13" s="1"/>
  <c r="BI186" i="13"/>
  <c r="BJ186" i="13" s="1"/>
  <c r="BC190" i="13"/>
  <c r="BD190" i="13" s="1"/>
  <c r="BF190" i="13"/>
  <c r="BG190" i="13" s="1"/>
  <c r="BI190" i="13"/>
  <c r="BJ190" i="13" s="1"/>
  <c r="BC191" i="13"/>
  <c r="BD191" i="13" s="1"/>
  <c r="BF191" i="13"/>
  <c r="BG191" i="13" s="1"/>
  <c r="BI191" i="13"/>
  <c r="BJ191" i="13" s="1"/>
  <c r="BC170" i="13"/>
  <c r="BD170" i="13" s="1"/>
  <c r="BF170" i="13"/>
  <c r="BG170" i="13" s="1"/>
  <c r="BI170" i="13"/>
  <c r="BJ170" i="13" s="1"/>
  <c r="BC162" i="13"/>
  <c r="BD162" i="13" s="1"/>
  <c r="BF162" i="13"/>
  <c r="BG162" i="13" s="1"/>
  <c r="BI162" i="13"/>
  <c r="BJ162" i="13" s="1"/>
  <c r="BC131" i="13"/>
  <c r="BD131" i="13" s="1"/>
  <c r="BF131" i="13"/>
  <c r="BG131" i="13" s="1"/>
  <c r="BI131" i="13"/>
  <c r="BJ131" i="13" s="1"/>
  <c r="BC132" i="13"/>
  <c r="BD132" i="13" s="1"/>
  <c r="BF132" i="13"/>
  <c r="BG132" i="13" s="1"/>
  <c r="BI132" i="13"/>
  <c r="BJ132" i="13" s="1"/>
  <c r="BC133" i="13"/>
  <c r="BD133" i="13" s="1"/>
  <c r="BF133" i="13"/>
  <c r="BG133" i="13" s="1"/>
  <c r="BI133" i="13"/>
  <c r="BJ133" i="13" s="1"/>
  <c r="BC135" i="13"/>
  <c r="BD135" i="13" s="1"/>
  <c r="BF135" i="13"/>
  <c r="BG135" i="13" s="1"/>
  <c r="BI135" i="13"/>
  <c r="BJ135" i="13" s="1"/>
  <c r="BC136" i="13"/>
  <c r="BD136" i="13" s="1"/>
  <c r="BF136" i="13"/>
  <c r="BG136" i="13" s="1"/>
  <c r="BI136" i="13"/>
  <c r="BJ136" i="13" s="1"/>
  <c r="BC137" i="13"/>
  <c r="BD137" i="13" s="1"/>
  <c r="BF137" i="13"/>
  <c r="BG137" i="13" s="1"/>
  <c r="BI137" i="13"/>
  <c r="BJ137" i="13" s="1"/>
  <c r="BC139" i="13"/>
  <c r="BD139" i="13" s="1"/>
  <c r="BF139" i="13"/>
  <c r="BG139" i="13" s="1"/>
  <c r="BI139" i="13"/>
  <c r="BJ139" i="13" s="1"/>
  <c r="BC140" i="13"/>
  <c r="BD140" i="13" s="1"/>
  <c r="BF140" i="13"/>
  <c r="BG140" i="13" s="1"/>
  <c r="BI140" i="13"/>
  <c r="BJ140" i="13" s="1"/>
  <c r="BC141" i="13"/>
  <c r="BD141" i="13" s="1"/>
  <c r="BF141" i="13"/>
  <c r="BG141" i="13" s="1"/>
  <c r="BI141" i="13"/>
  <c r="BJ141" i="13" s="1"/>
  <c r="BC146" i="13"/>
  <c r="BD146" i="13" s="1"/>
  <c r="BF146" i="13"/>
  <c r="BG146" i="13" s="1"/>
  <c r="BI146" i="13"/>
  <c r="BJ146" i="13" s="1"/>
  <c r="BC147" i="13"/>
  <c r="BD147" i="13" s="1"/>
  <c r="BF147" i="13"/>
  <c r="BG147" i="13" s="1"/>
  <c r="BI147" i="13"/>
  <c r="BJ147" i="13" s="1"/>
  <c r="BC127" i="13"/>
  <c r="BD127" i="13" s="1"/>
  <c r="BF127" i="13"/>
  <c r="BG127" i="13" s="1"/>
  <c r="BI127" i="13"/>
  <c r="BJ127" i="13" s="1"/>
  <c r="BC129" i="13"/>
  <c r="BD129" i="13" s="1"/>
  <c r="BF129" i="13"/>
  <c r="BG129" i="13" s="1"/>
  <c r="BI129" i="13"/>
  <c r="BJ129" i="13" s="1"/>
  <c r="BC116" i="13"/>
  <c r="BD116" i="13" s="1"/>
  <c r="BF116" i="13"/>
  <c r="BG116" i="13" s="1"/>
  <c r="BI116" i="13"/>
  <c r="BJ116" i="13" s="1"/>
  <c r="BC118" i="13"/>
  <c r="BD118" i="13" s="1"/>
  <c r="BF118" i="13"/>
  <c r="BG118" i="13" s="1"/>
  <c r="BI118" i="13"/>
  <c r="BJ118" i="13" s="1"/>
  <c r="BC119" i="13"/>
  <c r="BD119" i="13" s="1"/>
  <c r="BF119" i="13"/>
  <c r="BG119" i="13" s="1"/>
  <c r="BI119" i="13"/>
  <c r="BJ119" i="13" s="1"/>
  <c r="BC120" i="13"/>
  <c r="BD120" i="13" s="1"/>
  <c r="BF120" i="13"/>
  <c r="BG120" i="13" s="1"/>
  <c r="BI120" i="13"/>
  <c r="BJ120" i="13" s="1"/>
  <c r="BC101" i="13"/>
  <c r="BD101" i="13" s="1"/>
  <c r="BF101" i="13"/>
  <c r="BG101" i="13" s="1"/>
  <c r="BI101" i="13"/>
  <c r="BJ101" i="13" s="1"/>
  <c r="BC104" i="13"/>
  <c r="BD104" i="13" s="1"/>
  <c r="BF104" i="13"/>
  <c r="BG104" i="13" s="1"/>
  <c r="BI104" i="13"/>
  <c r="BJ104" i="13" s="1"/>
  <c r="BC105" i="13"/>
  <c r="BD105" i="13" s="1"/>
  <c r="BF105" i="13"/>
  <c r="BG105" i="13" s="1"/>
  <c r="BI105" i="13"/>
  <c r="BJ105" i="13" s="1"/>
  <c r="BC76" i="13"/>
  <c r="BD76" i="13" s="1"/>
  <c r="BF76" i="13"/>
  <c r="BG76" i="13" s="1"/>
  <c r="BI76" i="13"/>
  <c r="BJ76" i="13" s="1"/>
  <c r="BC77" i="13"/>
  <c r="BD77" i="13" s="1"/>
  <c r="BF77" i="13"/>
  <c r="BG77" i="13" s="1"/>
  <c r="BI77" i="13"/>
  <c r="BJ77" i="13" s="1"/>
  <c r="BC78" i="13"/>
  <c r="BD78" i="13" s="1"/>
  <c r="BF78" i="13"/>
  <c r="BG78" i="13" s="1"/>
  <c r="BI78" i="13"/>
  <c r="BJ78" i="13" s="1"/>
  <c r="BC80" i="13"/>
  <c r="BD80" i="13" s="1"/>
  <c r="BF80" i="13"/>
  <c r="BG80" i="13" s="1"/>
  <c r="BI80" i="13"/>
  <c r="BJ80" i="13" s="1"/>
  <c r="BC81" i="13"/>
  <c r="BD81" i="13" s="1"/>
  <c r="BF81" i="13"/>
  <c r="BG81" i="13" s="1"/>
  <c r="BI81" i="13"/>
  <c r="BJ81" i="13" s="1"/>
  <c r="BC84" i="13"/>
  <c r="BD84" i="13" s="1"/>
  <c r="BF84" i="13"/>
  <c r="BG84" i="13" s="1"/>
  <c r="BI84" i="13"/>
  <c r="BJ84" i="13" s="1"/>
  <c r="BC85" i="13"/>
  <c r="BD85" i="13" s="1"/>
  <c r="BF85" i="13"/>
  <c r="BG85" i="13" s="1"/>
  <c r="BI85" i="13"/>
  <c r="BJ85" i="13" s="1"/>
  <c r="BC87" i="13"/>
  <c r="BD87" i="13" s="1"/>
  <c r="BF87" i="13"/>
  <c r="BG87" i="13" s="1"/>
  <c r="BI87" i="13"/>
  <c r="BJ87" i="13" s="1"/>
  <c r="BC89" i="13"/>
  <c r="BD89" i="13" s="1"/>
  <c r="BF89" i="13"/>
  <c r="BG89" i="13" s="1"/>
  <c r="BI89" i="13"/>
  <c r="BJ89" i="13" s="1"/>
  <c r="BC92" i="13"/>
  <c r="BD92" i="13" s="1"/>
  <c r="BF92" i="13"/>
  <c r="BG92" i="13" s="1"/>
  <c r="BI92" i="13"/>
  <c r="BJ92" i="13" s="1"/>
  <c r="BC94" i="13"/>
  <c r="BD94" i="13" s="1"/>
  <c r="BF94" i="13"/>
  <c r="BG94" i="13" s="1"/>
  <c r="BI94" i="13"/>
  <c r="BJ94" i="13" s="1"/>
  <c r="BC70" i="13"/>
  <c r="BD70" i="13" s="1"/>
  <c r="BF70" i="13"/>
  <c r="BG70" i="13" s="1"/>
  <c r="BI70" i="13"/>
  <c r="BJ70" i="13" s="1"/>
  <c r="BC71" i="13"/>
  <c r="BD71" i="13" s="1"/>
  <c r="BF71" i="13"/>
  <c r="BG71" i="13" s="1"/>
  <c r="BI71" i="13"/>
  <c r="BJ71" i="13" s="1"/>
  <c r="BC74" i="13"/>
  <c r="BD74" i="13" s="1"/>
  <c r="BF74" i="13"/>
  <c r="BG74" i="13" s="1"/>
  <c r="BI74" i="13"/>
  <c r="BJ74" i="13" s="1"/>
  <c r="BC47" i="13"/>
  <c r="BD47" i="13" s="1"/>
  <c r="BF47" i="13"/>
  <c r="BG47" i="13" s="1"/>
  <c r="BI47" i="13"/>
  <c r="BJ47" i="13" s="1"/>
  <c r="BC48" i="13"/>
  <c r="BD48" i="13" s="1"/>
  <c r="BF48" i="13"/>
  <c r="BG48" i="13" s="1"/>
  <c r="BI48" i="13"/>
  <c r="BJ48" i="13" s="1"/>
  <c r="BC50" i="13"/>
  <c r="BD50" i="13" s="1"/>
  <c r="BF50" i="13"/>
  <c r="BG50" i="13" s="1"/>
  <c r="BI50" i="13"/>
  <c r="BJ50" i="13" s="1"/>
  <c r="BC52" i="13"/>
  <c r="BD52" i="13" s="1"/>
  <c r="BF52" i="13"/>
  <c r="BG52" i="13" s="1"/>
  <c r="BI52" i="13"/>
  <c r="BJ52" i="13" s="1"/>
  <c r="BC53" i="13"/>
  <c r="BD53" i="13" s="1"/>
  <c r="BF53" i="13"/>
  <c r="BG53" i="13" s="1"/>
  <c r="BI53" i="13"/>
  <c r="BJ53" i="13" s="1"/>
  <c r="BC54" i="13"/>
  <c r="BD54" i="13" s="1"/>
  <c r="BF54" i="13"/>
  <c r="BG54" i="13" s="1"/>
  <c r="BI54" i="13"/>
  <c r="BJ54" i="13" s="1"/>
  <c r="BC57" i="13"/>
  <c r="BD57" i="13" s="1"/>
  <c r="BF57" i="13"/>
  <c r="BG57" i="13" s="1"/>
  <c r="BI57" i="13"/>
  <c r="BJ57" i="13" s="1"/>
  <c r="BC58" i="13"/>
  <c r="BD58" i="13" s="1"/>
  <c r="BF58" i="13"/>
  <c r="BG58" i="13" s="1"/>
  <c r="BI58" i="13"/>
  <c r="BJ58" i="13" s="1"/>
  <c r="BC60" i="13"/>
  <c r="BD60" i="13" s="1"/>
  <c r="BF60" i="13"/>
  <c r="BG60" i="13" s="1"/>
  <c r="BI60" i="13"/>
  <c r="BJ60" i="13" s="1"/>
  <c r="BC61" i="13"/>
  <c r="BD61" i="13" s="1"/>
  <c r="BF61" i="13"/>
  <c r="BG61" i="13" s="1"/>
  <c r="BI61" i="13"/>
  <c r="BJ61" i="13" s="1"/>
  <c r="BC64" i="13"/>
  <c r="BD64" i="13" s="1"/>
  <c r="BF64" i="13"/>
  <c r="BG64" i="13" s="1"/>
  <c r="BI64" i="13"/>
  <c r="BJ64" i="13" s="1"/>
  <c r="BC41" i="13"/>
  <c r="BD41" i="13" s="1"/>
  <c r="BF41" i="13"/>
  <c r="BG41" i="13" s="1"/>
  <c r="BI41" i="13"/>
  <c r="BJ41" i="13" s="1"/>
  <c r="BC42" i="13"/>
  <c r="BD42" i="13" s="1"/>
  <c r="BF42" i="13"/>
  <c r="BG42" i="13" s="1"/>
  <c r="BI42" i="13"/>
  <c r="BJ42" i="13" s="1"/>
  <c r="BC43" i="13"/>
  <c r="BD43" i="13" s="1"/>
  <c r="BF43" i="13"/>
  <c r="BG43" i="13" s="1"/>
  <c r="BI43" i="13"/>
  <c r="BJ43" i="13" s="1"/>
  <c r="BC44" i="13"/>
  <c r="BD44" i="13" s="1"/>
  <c r="BF44" i="13"/>
  <c r="BG44" i="13" s="1"/>
  <c r="BI44" i="13"/>
  <c r="BJ44" i="13" s="1"/>
  <c r="BC45" i="13"/>
  <c r="BD45" i="13" s="1"/>
  <c r="BF45" i="13"/>
  <c r="BG45" i="13" s="1"/>
  <c r="BI45" i="13"/>
  <c r="BJ45" i="13" s="1"/>
  <c r="BC17" i="13"/>
  <c r="BD17" i="13" s="1"/>
  <c r="BF17" i="13"/>
  <c r="BG17" i="13" s="1"/>
  <c r="BI17" i="13"/>
  <c r="BJ17" i="13" s="1"/>
  <c r="BC18" i="13"/>
  <c r="BD18" i="13" s="1"/>
  <c r="BF18" i="13"/>
  <c r="BG18" i="13" s="1"/>
  <c r="BI18" i="13"/>
  <c r="BJ18" i="13" s="1"/>
  <c r="BC20" i="13"/>
  <c r="BD20" i="13" s="1"/>
  <c r="BF20" i="13"/>
  <c r="BG20" i="13" s="1"/>
  <c r="BI20" i="13"/>
  <c r="BJ20" i="13" s="1"/>
  <c r="BC21" i="13"/>
  <c r="BD21" i="13" s="1"/>
  <c r="BF21" i="13"/>
  <c r="BG21" i="13" s="1"/>
  <c r="BI21" i="13"/>
  <c r="BJ21" i="13" s="1"/>
  <c r="BC26" i="13"/>
  <c r="BD26" i="13" s="1"/>
  <c r="BF26" i="13"/>
  <c r="BG26" i="13" s="1"/>
  <c r="BI26" i="13"/>
  <c r="BJ26" i="13" s="1"/>
  <c r="BC28" i="13"/>
  <c r="BD28" i="13" s="1"/>
  <c r="BF28" i="13"/>
  <c r="BG28" i="13" s="1"/>
  <c r="BI28" i="13"/>
  <c r="BJ28" i="13" s="1"/>
  <c r="BC31" i="13"/>
  <c r="BD31" i="13" s="1"/>
  <c r="BF31" i="13"/>
  <c r="BG31" i="13" s="1"/>
  <c r="BI31" i="13"/>
  <c r="BJ31" i="13" s="1"/>
  <c r="BC33" i="13"/>
  <c r="BD33" i="13" s="1"/>
  <c r="BF33" i="13"/>
  <c r="BG33" i="13" s="1"/>
  <c r="BI33" i="13"/>
  <c r="BJ33" i="13" s="1"/>
  <c r="BC13" i="13"/>
  <c r="BD13" i="13" s="1"/>
  <c r="BF13" i="13"/>
  <c r="BG13" i="13" s="1"/>
  <c r="BI13" i="13"/>
  <c r="BJ13" i="13" s="1"/>
  <c r="BC14" i="13"/>
  <c r="BD14" i="13" s="1"/>
  <c r="BF14" i="13"/>
  <c r="BG14" i="13" s="1"/>
  <c r="BI14" i="13"/>
  <c r="BJ14" i="13" s="1"/>
  <c r="H199" i="16" l="1"/>
  <c r="H78" i="16"/>
  <c r="AF95" i="13"/>
  <c r="AF96" i="13"/>
  <c r="F231" i="13"/>
  <c r="G231" i="13"/>
  <c r="H231" i="13"/>
  <c r="I231" i="13"/>
  <c r="J231" i="13"/>
  <c r="K231" i="13"/>
  <c r="L231" i="13"/>
  <c r="M231" i="13"/>
  <c r="N231" i="13"/>
  <c r="O231" i="13"/>
  <c r="Q231" i="13"/>
  <c r="E231" i="13"/>
  <c r="F214" i="13"/>
  <c r="G214" i="13"/>
  <c r="H214" i="13"/>
  <c r="I214" i="13"/>
  <c r="J214" i="13"/>
  <c r="K214" i="13"/>
  <c r="L214" i="13"/>
  <c r="M214" i="13"/>
  <c r="N214" i="13"/>
  <c r="O214" i="13"/>
  <c r="Q214" i="13"/>
  <c r="Q169" i="13"/>
  <c r="O169" i="13"/>
  <c r="N169" i="13"/>
  <c r="M169" i="13"/>
  <c r="L169" i="13"/>
  <c r="K169" i="13"/>
  <c r="J169" i="13"/>
  <c r="I169" i="13"/>
  <c r="H169" i="13"/>
  <c r="G169" i="13"/>
  <c r="F169" i="13"/>
  <c r="Q192" i="13"/>
  <c r="O192" i="13"/>
  <c r="N192" i="13"/>
  <c r="M192" i="13"/>
  <c r="L192" i="13"/>
  <c r="K192" i="13"/>
  <c r="J192" i="13"/>
  <c r="I192" i="13"/>
  <c r="H192" i="13"/>
  <c r="G192" i="13"/>
  <c r="F192" i="13"/>
  <c r="Q189" i="13"/>
  <c r="O189" i="13"/>
  <c r="N189" i="13"/>
  <c r="M189" i="13"/>
  <c r="L189" i="13"/>
  <c r="K189" i="13"/>
  <c r="J189" i="13"/>
  <c r="I189" i="13"/>
  <c r="H189" i="13"/>
  <c r="G189" i="13"/>
  <c r="F189" i="13"/>
  <c r="Q187" i="13"/>
  <c r="O187" i="13"/>
  <c r="N187" i="13"/>
  <c r="M187" i="13"/>
  <c r="L187" i="13"/>
  <c r="J187" i="13"/>
  <c r="I187" i="13"/>
  <c r="H187" i="13"/>
  <c r="G187" i="13"/>
  <c r="F187" i="13"/>
  <c r="Q183" i="13"/>
  <c r="O183" i="13"/>
  <c r="N183" i="13"/>
  <c r="M183" i="13"/>
  <c r="L183" i="13"/>
  <c r="K183" i="13"/>
  <c r="J183" i="13"/>
  <c r="I183" i="13"/>
  <c r="H183" i="13"/>
  <c r="G183" i="13"/>
  <c r="F183" i="13"/>
  <c r="Q179" i="13"/>
  <c r="O179" i="13"/>
  <c r="N179" i="13"/>
  <c r="M179" i="13"/>
  <c r="L179" i="13"/>
  <c r="K179" i="13"/>
  <c r="J179" i="13"/>
  <c r="I179" i="13"/>
  <c r="H179" i="13"/>
  <c r="G179" i="13"/>
  <c r="F179" i="13"/>
  <c r="Q175" i="13"/>
  <c r="O175" i="13"/>
  <c r="N175" i="13"/>
  <c r="M175" i="13"/>
  <c r="L175" i="13"/>
  <c r="K175" i="13"/>
  <c r="J175" i="13"/>
  <c r="I175" i="13"/>
  <c r="H175" i="13"/>
  <c r="G175" i="13"/>
  <c r="F175" i="13"/>
  <c r="Q171" i="13"/>
  <c r="O171" i="13"/>
  <c r="N171" i="13"/>
  <c r="M171" i="13"/>
  <c r="L171" i="13"/>
  <c r="K171" i="13"/>
  <c r="J171" i="13"/>
  <c r="I171" i="13"/>
  <c r="H171" i="13"/>
  <c r="G171" i="13"/>
  <c r="F171" i="13"/>
  <c r="Q164" i="13"/>
  <c r="O164" i="13"/>
  <c r="N164" i="13"/>
  <c r="M164" i="13"/>
  <c r="L164" i="13"/>
  <c r="K164" i="13"/>
  <c r="J164" i="13"/>
  <c r="I164" i="13"/>
  <c r="H164" i="13"/>
  <c r="G164" i="13"/>
  <c r="F164" i="13"/>
  <c r="Q162" i="13"/>
  <c r="O162" i="13"/>
  <c r="N162" i="13"/>
  <c r="M162" i="13"/>
  <c r="L162" i="13"/>
  <c r="K162" i="13"/>
  <c r="J162" i="13"/>
  <c r="I162" i="13"/>
  <c r="H162" i="13"/>
  <c r="G162" i="13"/>
  <c r="F162" i="13"/>
  <c r="Q160" i="13"/>
  <c r="O160" i="13"/>
  <c r="N160" i="13"/>
  <c r="M160" i="13"/>
  <c r="L160" i="13"/>
  <c r="K160" i="13"/>
  <c r="J160" i="13"/>
  <c r="I160" i="13"/>
  <c r="H160" i="13"/>
  <c r="G160" i="13"/>
  <c r="F160" i="13"/>
  <c r="Q155" i="13"/>
  <c r="O155" i="13"/>
  <c r="N155" i="13"/>
  <c r="M155" i="13"/>
  <c r="L155" i="13"/>
  <c r="K155" i="13"/>
  <c r="J155" i="13"/>
  <c r="I155" i="13"/>
  <c r="H155" i="13"/>
  <c r="G155" i="13"/>
  <c r="F155" i="13"/>
  <c r="Q148" i="13"/>
  <c r="O148" i="13"/>
  <c r="N148" i="13"/>
  <c r="M148" i="13"/>
  <c r="L148" i="13"/>
  <c r="K148" i="13"/>
  <c r="J148" i="13"/>
  <c r="I148" i="13"/>
  <c r="H148" i="13"/>
  <c r="G148" i="13"/>
  <c r="F148" i="13"/>
  <c r="Q144" i="13"/>
  <c r="O144" i="13"/>
  <c r="N144" i="13"/>
  <c r="M144" i="13"/>
  <c r="L144" i="13"/>
  <c r="K144" i="13"/>
  <c r="J144" i="13"/>
  <c r="I144" i="13"/>
  <c r="H144" i="13"/>
  <c r="G144" i="13"/>
  <c r="F144" i="13"/>
  <c r="Q134" i="13"/>
  <c r="O134" i="13"/>
  <c r="N134" i="13"/>
  <c r="M134" i="13"/>
  <c r="L134" i="13"/>
  <c r="K134" i="13"/>
  <c r="J134" i="13"/>
  <c r="I134" i="13"/>
  <c r="H134" i="13"/>
  <c r="G134" i="13"/>
  <c r="F134" i="13"/>
  <c r="Q130" i="13"/>
  <c r="O130" i="13"/>
  <c r="N130" i="13"/>
  <c r="M130" i="13"/>
  <c r="L130" i="13"/>
  <c r="K130" i="13"/>
  <c r="J130" i="13"/>
  <c r="I130" i="13"/>
  <c r="H130" i="13"/>
  <c r="G130" i="13"/>
  <c r="F130" i="13"/>
  <c r="Q126" i="13"/>
  <c r="O126" i="13"/>
  <c r="N126" i="13"/>
  <c r="M126" i="13"/>
  <c r="L126" i="13"/>
  <c r="K126" i="13"/>
  <c r="J126" i="13"/>
  <c r="I126" i="13"/>
  <c r="H126" i="13"/>
  <c r="G126" i="13"/>
  <c r="F126" i="13"/>
  <c r="Q121" i="13"/>
  <c r="O121" i="13"/>
  <c r="N121" i="13"/>
  <c r="M121" i="13"/>
  <c r="L121" i="13"/>
  <c r="K121" i="13"/>
  <c r="J121" i="13"/>
  <c r="I121" i="13"/>
  <c r="H121" i="13"/>
  <c r="G121" i="13"/>
  <c r="F121" i="13"/>
  <c r="Q117" i="13"/>
  <c r="O117" i="13"/>
  <c r="N117" i="13"/>
  <c r="M117" i="13"/>
  <c r="L117" i="13"/>
  <c r="K117" i="13"/>
  <c r="J117" i="13"/>
  <c r="I117" i="13"/>
  <c r="H117" i="13"/>
  <c r="G117" i="13"/>
  <c r="F117" i="13"/>
  <c r="Q115" i="13"/>
  <c r="O115" i="13"/>
  <c r="N115" i="13"/>
  <c r="M115" i="13"/>
  <c r="L115" i="13"/>
  <c r="K115" i="13"/>
  <c r="J115" i="13"/>
  <c r="I115" i="13"/>
  <c r="H115" i="13"/>
  <c r="G115" i="13"/>
  <c r="F115" i="13"/>
  <c r="Q113" i="13"/>
  <c r="O113" i="13"/>
  <c r="N113" i="13"/>
  <c r="M113" i="13"/>
  <c r="L113" i="13"/>
  <c r="K113" i="13"/>
  <c r="J113" i="13"/>
  <c r="I113" i="13"/>
  <c r="H113" i="13"/>
  <c r="G113" i="13"/>
  <c r="F113" i="13"/>
  <c r="Q103" i="13"/>
  <c r="O103" i="13"/>
  <c r="N103" i="13"/>
  <c r="M103" i="13"/>
  <c r="L103" i="13"/>
  <c r="K103" i="13"/>
  <c r="J103" i="13"/>
  <c r="I103" i="13"/>
  <c r="H103" i="13"/>
  <c r="G103" i="13"/>
  <c r="F103" i="13"/>
  <c r="Q100" i="13"/>
  <c r="O100" i="13"/>
  <c r="N100" i="13"/>
  <c r="M100" i="13"/>
  <c r="L100" i="13"/>
  <c r="K100" i="13"/>
  <c r="J100" i="13"/>
  <c r="I100" i="13"/>
  <c r="H100" i="13"/>
  <c r="G100" i="13"/>
  <c r="F100" i="13"/>
  <c r="Q93" i="13"/>
  <c r="O93" i="13"/>
  <c r="N93" i="13"/>
  <c r="M93" i="13"/>
  <c r="L93" i="13"/>
  <c r="K93" i="13"/>
  <c r="J93" i="13"/>
  <c r="I93" i="13"/>
  <c r="H93" i="13"/>
  <c r="G93" i="13"/>
  <c r="F93" i="13"/>
  <c r="G83" i="13"/>
  <c r="O90" i="13"/>
  <c r="N90" i="13"/>
  <c r="M90" i="13"/>
  <c r="L90" i="13"/>
  <c r="K90" i="13"/>
  <c r="J90" i="13"/>
  <c r="I90" i="13"/>
  <c r="H90" i="13"/>
  <c r="G90" i="13"/>
  <c r="F90" i="13"/>
  <c r="Q90" i="13"/>
  <c r="G86" i="13"/>
  <c r="Q86" i="13"/>
  <c r="Q83" i="13"/>
  <c r="O86" i="13"/>
  <c r="O83" i="13"/>
  <c r="N86" i="13"/>
  <c r="N83" i="13"/>
  <c r="M86" i="13"/>
  <c r="M83" i="13"/>
  <c r="L86" i="13"/>
  <c r="L83" i="13"/>
  <c r="K86" i="13"/>
  <c r="K83" i="13"/>
  <c r="J86" i="13"/>
  <c r="J83" i="13"/>
  <c r="I86" i="13"/>
  <c r="I83" i="13"/>
  <c r="H86" i="13"/>
  <c r="H83" i="13"/>
  <c r="F86" i="13"/>
  <c r="F83" i="13"/>
  <c r="Q75" i="13"/>
  <c r="Q69" i="13"/>
  <c r="O75" i="13"/>
  <c r="O69" i="13"/>
  <c r="N75" i="13"/>
  <c r="N69" i="13"/>
  <c r="M75" i="13"/>
  <c r="M69" i="13"/>
  <c r="L75" i="13"/>
  <c r="L69" i="13"/>
  <c r="K75" i="13"/>
  <c r="K69" i="13"/>
  <c r="J75" i="13"/>
  <c r="J69" i="13"/>
  <c r="I75" i="13"/>
  <c r="I69" i="13"/>
  <c r="H75" i="13"/>
  <c r="H69" i="13"/>
  <c r="G69" i="13"/>
  <c r="F75" i="13"/>
  <c r="F69" i="13"/>
  <c r="G63" i="13"/>
  <c r="Q63" i="13"/>
  <c r="O63" i="13"/>
  <c r="N63" i="13"/>
  <c r="M63" i="13"/>
  <c r="L63" i="13"/>
  <c r="K63" i="13"/>
  <c r="J63" i="13"/>
  <c r="I63" i="13"/>
  <c r="H63" i="13"/>
  <c r="F63" i="13"/>
  <c r="Q59" i="13"/>
  <c r="Q56" i="13"/>
  <c r="O59" i="13"/>
  <c r="O56" i="13"/>
  <c r="N59" i="13"/>
  <c r="N56" i="13"/>
  <c r="K59" i="13"/>
  <c r="K56" i="13"/>
  <c r="J59" i="13"/>
  <c r="J56" i="13"/>
  <c r="I59" i="13"/>
  <c r="I56" i="13"/>
  <c r="H59" i="13"/>
  <c r="H56" i="13"/>
  <c r="F59" i="13"/>
  <c r="F56" i="13"/>
  <c r="J51" i="13"/>
  <c r="J46" i="13"/>
  <c r="Q51" i="13"/>
  <c r="Q46" i="13"/>
  <c r="Q39" i="13"/>
  <c r="O51" i="13"/>
  <c r="O46" i="13"/>
  <c r="O39" i="13"/>
  <c r="N51" i="13"/>
  <c r="N46" i="13"/>
  <c r="N39" i="13"/>
  <c r="M51" i="13"/>
  <c r="M46" i="13"/>
  <c r="M39" i="13"/>
  <c r="L51" i="13"/>
  <c r="L46" i="13"/>
  <c r="L39" i="13"/>
  <c r="K51" i="13"/>
  <c r="K46" i="13"/>
  <c r="K39" i="13"/>
  <c r="I51" i="13"/>
  <c r="I46" i="13"/>
  <c r="I39" i="13"/>
  <c r="H51" i="13"/>
  <c r="H46" i="13"/>
  <c r="H39" i="13"/>
  <c r="G51" i="13"/>
  <c r="G46" i="13"/>
  <c r="G39" i="13"/>
  <c r="F51" i="13"/>
  <c r="F46" i="13"/>
  <c r="F39" i="13"/>
  <c r="B202" i="13"/>
  <c r="Y202" i="13" s="1"/>
  <c r="B203" i="13"/>
  <c r="Y203" i="13" s="1"/>
  <c r="I123" i="13" l="1"/>
  <c r="L66" i="13"/>
  <c r="J110" i="13"/>
  <c r="I152" i="13"/>
  <c r="I110" i="13"/>
  <c r="G123" i="13"/>
  <c r="M166" i="13"/>
  <c r="I66" i="13"/>
  <c r="N66" i="13"/>
  <c r="L97" i="13"/>
  <c r="L110" i="13"/>
  <c r="N110" i="13"/>
  <c r="Q110" i="13"/>
  <c r="M66" i="13"/>
  <c r="H123" i="13"/>
  <c r="G66" i="13"/>
  <c r="Q97" i="13"/>
  <c r="K110" i="13"/>
  <c r="H166" i="13"/>
  <c r="F66" i="13"/>
  <c r="O66" i="13"/>
  <c r="M110" i="13"/>
  <c r="I166" i="13"/>
  <c r="N123" i="13"/>
  <c r="O110" i="13"/>
  <c r="Q66" i="13"/>
  <c r="F110" i="13"/>
  <c r="I97" i="13"/>
  <c r="H66" i="13"/>
  <c r="Q166" i="13"/>
  <c r="F97" i="13"/>
  <c r="H97" i="13"/>
  <c r="N97" i="13"/>
  <c r="L197" i="13"/>
  <c r="O97" i="13"/>
  <c r="O123" i="13"/>
  <c r="J66" i="13"/>
  <c r="G110" i="13"/>
  <c r="Q123" i="13"/>
  <c r="G152" i="13"/>
  <c r="L166" i="13"/>
  <c r="J97" i="13"/>
  <c r="H110" i="13"/>
  <c r="K97" i="13"/>
  <c r="J152" i="13"/>
  <c r="K152" i="13"/>
  <c r="N166" i="13"/>
  <c r="L123" i="13"/>
  <c r="O166" i="13"/>
  <c r="K66" i="13"/>
  <c r="G166" i="13"/>
  <c r="G97" i="13"/>
  <c r="M97" i="13"/>
  <c r="H152" i="13"/>
  <c r="F123" i="13"/>
  <c r="F166" i="13"/>
  <c r="K197" i="13"/>
  <c r="H197" i="13"/>
  <c r="J123" i="13"/>
  <c r="J166" i="13"/>
  <c r="M197" i="13"/>
  <c r="I197" i="13"/>
  <c r="K123" i="13"/>
  <c r="M123" i="13"/>
  <c r="K166" i="13"/>
  <c r="N197" i="13"/>
  <c r="J197" i="13"/>
  <c r="Q197" i="13"/>
  <c r="O197" i="13"/>
  <c r="L152" i="13"/>
  <c r="M152" i="13"/>
  <c r="N152" i="13"/>
  <c r="O152" i="13"/>
  <c r="Q152" i="13"/>
  <c r="F152" i="13"/>
  <c r="AD95" i="13"/>
  <c r="AE95" i="13"/>
  <c r="AD96" i="13"/>
  <c r="AE96" i="13"/>
  <c r="G197" i="13"/>
  <c r="F197" i="13"/>
  <c r="E214" i="13" l="1"/>
  <c r="E189" i="13"/>
  <c r="E187" i="13"/>
  <c r="E192" i="13"/>
  <c r="E183" i="13"/>
  <c r="E179" i="13"/>
  <c r="E175" i="13"/>
  <c r="E169" i="13"/>
  <c r="E171" i="13"/>
  <c r="E164" i="13"/>
  <c r="E162" i="13"/>
  <c r="E160" i="13"/>
  <c r="E155" i="13"/>
  <c r="E148" i="13"/>
  <c r="E144" i="13"/>
  <c r="E134" i="13"/>
  <c r="E130" i="13"/>
  <c r="E126" i="13"/>
  <c r="E121" i="13"/>
  <c r="E117" i="13"/>
  <c r="E115" i="13"/>
  <c r="E113" i="13"/>
  <c r="E103" i="13"/>
  <c r="E100" i="13"/>
  <c r="E93" i="13"/>
  <c r="E90" i="13"/>
  <c r="E86" i="13"/>
  <c r="E83" i="13"/>
  <c r="E75" i="13"/>
  <c r="E69" i="13"/>
  <c r="E63" i="13"/>
  <c r="E59" i="13"/>
  <c r="E56" i="13"/>
  <c r="E51" i="13"/>
  <c r="E46" i="13"/>
  <c r="E39" i="13"/>
  <c r="AF223" i="5"/>
  <c r="AE223" i="5"/>
  <c r="AD223" i="5"/>
  <c r="AF222" i="5"/>
  <c r="AE222" i="5"/>
  <c r="AD222" i="5"/>
  <c r="AF221" i="5"/>
  <c r="AE221" i="5"/>
  <c r="AD221" i="5"/>
  <c r="AF220" i="5"/>
  <c r="AE220" i="5"/>
  <c r="AD220" i="5"/>
  <c r="AF219" i="5"/>
  <c r="AE219" i="5"/>
  <c r="AD219" i="5"/>
  <c r="AF218" i="5"/>
  <c r="AE218" i="5"/>
  <c r="AD218" i="5"/>
  <c r="AF217" i="5"/>
  <c r="AE217" i="5"/>
  <c r="AD217" i="5"/>
  <c r="AF216" i="5"/>
  <c r="AE216" i="5"/>
  <c r="AD216" i="5"/>
  <c r="AF215" i="5"/>
  <c r="AE215" i="5"/>
  <c r="AD215" i="5"/>
  <c r="AF214" i="5"/>
  <c r="AE214" i="5"/>
  <c r="AD214" i="5"/>
  <c r="AF213" i="5"/>
  <c r="AE213" i="5"/>
  <c r="AD213" i="5"/>
  <c r="AF212" i="5"/>
  <c r="AE212" i="5"/>
  <c r="AD212" i="5"/>
  <c r="AF211" i="5"/>
  <c r="AE211" i="5"/>
  <c r="AD211" i="5"/>
  <c r="AF210" i="5"/>
  <c r="AE210" i="5"/>
  <c r="AD210" i="5"/>
  <c r="AF206" i="5"/>
  <c r="AE206" i="5"/>
  <c r="AD206" i="5"/>
  <c r="AF205" i="5"/>
  <c r="AE205" i="5"/>
  <c r="AD205" i="5"/>
  <c r="AF204" i="5"/>
  <c r="AE204" i="5"/>
  <c r="AD204" i="5"/>
  <c r="AF203" i="5"/>
  <c r="AE203" i="5"/>
  <c r="AD203" i="5"/>
  <c r="AF202" i="5"/>
  <c r="AE202" i="5"/>
  <c r="AD202" i="5"/>
  <c r="AF201" i="5"/>
  <c r="AE201" i="5"/>
  <c r="AD201" i="5"/>
  <c r="AF200" i="5"/>
  <c r="AE200" i="5"/>
  <c r="AD200" i="5"/>
  <c r="AF199" i="5"/>
  <c r="AE199" i="5"/>
  <c r="AD199" i="5"/>
  <c r="AF198" i="5"/>
  <c r="AE198" i="5"/>
  <c r="AD198" i="5"/>
  <c r="AF194" i="5"/>
  <c r="AE194" i="5"/>
  <c r="AD194" i="5"/>
  <c r="AF193" i="5"/>
  <c r="AE193" i="5"/>
  <c r="AD193" i="5"/>
  <c r="AF189" i="5"/>
  <c r="AE189" i="5"/>
  <c r="AD189" i="5"/>
  <c r="AF187" i="5"/>
  <c r="AE187" i="5"/>
  <c r="AD187" i="5"/>
  <c r="AF186" i="5"/>
  <c r="AE186" i="5"/>
  <c r="AD186" i="5"/>
  <c r="AF185" i="5"/>
  <c r="AE185" i="5"/>
  <c r="AD185" i="5"/>
  <c r="AF184" i="5"/>
  <c r="AE184" i="5"/>
  <c r="AD184" i="5"/>
  <c r="AF183" i="5"/>
  <c r="AE183" i="5"/>
  <c r="AD183" i="5"/>
  <c r="AF182" i="5"/>
  <c r="AE182" i="5"/>
  <c r="AD182" i="5"/>
  <c r="AF181" i="5"/>
  <c r="AE181" i="5"/>
  <c r="AD181" i="5"/>
  <c r="AF180" i="5"/>
  <c r="AE180" i="5"/>
  <c r="AD180" i="5"/>
  <c r="AF179" i="5"/>
  <c r="AE179" i="5"/>
  <c r="AD179" i="5"/>
  <c r="AF178" i="5"/>
  <c r="AE178" i="5"/>
  <c r="AD178" i="5"/>
  <c r="AF177" i="5"/>
  <c r="AE177" i="5"/>
  <c r="AD177" i="5"/>
  <c r="AF176" i="5"/>
  <c r="AE176" i="5"/>
  <c r="AD176" i="5"/>
  <c r="AF175" i="5"/>
  <c r="AE175" i="5"/>
  <c r="AD175" i="5"/>
  <c r="AF174" i="5"/>
  <c r="AE174" i="5"/>
  <c r="AD174" i="5"/>
  <c r="AF173" i="5"/>
  <c r="AE173" i="5"/>
  <c r="AD173" i="5"/>
  <c r="AF172" i="5"/>
  <c r="AE172" i="5"/>
  <c r="AD172" i="5"/>
  <c r="AF171" i="5"/>
  <c r="AE171" i="5"/>
  <c r="AD171" i="5"/>
  <c r="AF170" i="5"/>
  <c r="AE170" i="5"/>
  <c r="AD170" i="5"/>
  <c r="AF169" i="5"/>
  <c r="AE169" i="5"/>
  <c r="AD169" i="5"/>
  <c r="AF168" i="5"/>
  <c r="AE168" i="5"/>
  <c r="AD168" i="5"/>
  <c r="AF167" i="5"/>
  <c r="AE167" i="5"/>
  <c r="AD167" i="5"/>
  <c r="AF166" i="5"/>
  <c r="AE166" i="5"/>
  <c r="AD166" i="5"/>
  <c r="AF165" i="5"/>
  <c r="AE165" i="5"/>
  <c r="AD165" i="5"/>
  <c r="AF163" i="5"/>
  <c r="AE163" i="5"/>
  <c r="AD163" i="5"/>
  <c r="AF162" i="5"/>
  <c r="AE162" i="5"/>
  <c r="AD162" i="5"/>
  <c r="AF158" i="5"/>
  <c r="AE158" i="5"/>
  <c r="AD158" i="5"/>
  <c r="AF157" i="5"/>
  <c r="AE157" i="5"/>
  <c r="AD157" i="5"/>
  <c r="AF156" i="5"/>
  <c r="AE156" i="5"/>
  <c r="AD156" i="5"/>
  <c r="AF155" i="5"/>
  <c r="AE155" i="5"/>
  <c r="AD155" i="5"/>
  <c r="AF154" i="5"/>
  <c r="AE154" i="5"/>
  <c r="AD154" i="5"/>
  <c r="AF153" i="5"/>
  <c r="AE153" i="5"/>
  <c r="AD153" i="5"/>
  <c r="AF151" i="5"/>
  <c r="AE151" i="5"/>
  <c r="AD151" i="5"/>
  <c r="AF150" i="5"/>
  <c r="AE150" i="5"/>
  <c r="AD150" i="5"/>
  <c r="AF149" i="5"/>
  <c r="AE149" i="5"/>
  <c r="AD149" i="5"/>
  <c r="AF147" i="5"/>
  <c r="AE147" i="5"/>
  <c r="AD147" i="5"/>
  <c r="AF143" i="5"/>
  <c r="AE143" i="5"/>
  <c r="AD143" i="5"/>
  <c r="AF142" i="5"/>
  <c r="AE142" i="5"/>
  <c r="AD142" i="5"/>
  <c r="AF141" i="5"/>
  <c r="AE141" i="5"/>
  <c r="AD141" i="5"/>
  <c r="AF140" i="5"/>
  <c r="AE140" i="5"/>
  <c r="AD140" i="5"/>
  <c r="AF139" i="5"/>
  <c r="AE139" i="5"/>
  <c r="AD139" i="5"/>
  <c r="AF138" i="5"/>
  <c r="AE138" i="5"/>
  <c r="AD138" i="5"/>
  <c r="AF137" i="5"/>
  <c r="AE137" i="5"/>
  <c r="AD137" i="5"/>
  <c r="AF135" i="5"/>
  <c r="AE135" i="5"/>
  <c r="AD135" i="5"/>
  <c r="AF133" i="5"/>
  <c r="AE133" i="5"/>
  <c r="AD133" i="5"/>
  <c r="AF132" i="5"/>
  <c r="AE132" i="5"/>
  <c r="AD132" i="5"/>
  <c r="AF131" i="5"/>
  <c r="AE131" i="5"/>
  <c r="AD131" i="5"/>
  <c r="AF130" i="5"/>
  <c r="AE130" i="5"/>
  <c r="AD130" i="5"/>
  <c r="AF129" i="5"/>
  <c r="AE129" i="5"/>
  <c r="AD129" i="5"/>
  <c r="AF128" i="5"/>
  <c r="AE128" i="5"/>
  <c r="AD128" i="5"/>
  <c r="AF127" i="5"/>
  <c r="AE127" i="5"/>
  <c r="AD127" i="5"/>
  <c r="AF126" i="5"/>
  <c r="AE126" i="5"/>
  <c r="AD126" i="5"/>
  <c r="AF125" i="5"/>
  <c r="AE125" i="5"/>
  <c r="AD125" i="5"/>
  <c r="AF124" i="5"/>
  <c r="AE124" i="5"/>
  <c r="AD124" i="5"/>
  <c r="AF123" i="5"/>
  <c r="AE123" i="5"/>
  <c r="AD123" i="5"/>
  <c r="AF122" i="5"/>
  <c r="AE122" i="5"/>
  <c r="AD122" i="5"/>
  <c r="AF121" i="5"/>
  <c r="AE121" i="5"/>
  <c r="AD121" i="5"/>
  <c r="AF120" i="5"/>
  <c r="AE120" i="5"/>
  <c r="AD120" i="5"/>
  <c r="AF119" i="5"/>
  <c r="AE119" i="5"/>
  <c r="AD119" i="5"/>
  <c r="AF118" i="5"/>
  <c r="AE118" i="5"/>
  <c r="AD118" i="5"/>
  <c r="AF117" i="5"/>
  <c r="AE117" i="5"/>
  <c r="AD117" i="5"/>
  <c r="AF113" i="5"/>
  <c r="AE113" i="5"/>
  <c r="AD113" i="5"/>
  <c r="AF112" i="5"/>
  <c r="AE112" i="5"/>
  <c r="AD112" i="5"/>
  <c r="AF111" i="5"/>
  <c r="AE111" i="5"/>
  <c r="AD111" i="5"/>
  <c r="AF110" i="5"/>
  <c r="AE110" i="5"/>
  <c r="AD110" i="5"/>
  <c r="AF109" i="5"/>
  <c r="AE109" i="5"/>
  <c r="AD109" i="5"/>
  <c r="AF108" i="5"/>
  <c r="AE108" i="5"/>
  <c r="AD108" i="5"/>
  <c r="AF107" i="5"/>
  <c r="AE107" i="5"/>
  <c r="AD107" i="5"/>
  <c r="AF106" i="5"/>
  <c r="AE106" i="5"/>
  <c r="AD106" i="5"/>
  <c r="AF105" i="5"/>
  <c r="AE105" i="5"/>
  <c r="AD105" i="5"/>
  <c r="AF103" i="5"/>
  <c r="AE103" i="5"/>
  <c r="AD103" i="5"/>
  <c r="AF99" i="5"/>
  <c r="AE99" i="5"/>
  <c r="AD99" i="5"/>
  <c r="AF97" i="5"/>
  <c r="AE97" i="5"/>
  <c r="AD97" i="5"/>
  <c r="AF96" i="5"/>
  <c r="AE96" i="5"/>
  <c r="AD96" i="5"/>
  <c r="AF95" i="5"/>
  <c r="AE95" i="5"/>
  <c r="AD95" i="5"/>
  <c r="AF94" i="5"/>
  <c r="AE94" i="5"/>
  <c r="AD94" i="5"/>
  <c r="AF90" i="5"/>
  <c r="AE90" i="5"/>
  <c r="AD90" i="5"/>
  <c r="AF89" i="5"/>
  <c r="AE89" i="5"/>
  <c r="AD89" i="5"/>
  <c r="AF88" i="5"/>
  <c r="AE88" i="5"/>
  <c r="AD88" i="5"/>
  <c r="AF87" i="5"/>
  <c r="AE87" i="5"/>
  <c r="AD87" i="5"/>
  <c r="AF86" i="5"/>
  <c r="AE86" i="5"/>
  <c r="AD86" i="5"/>
  <c r="AF85" i="5"/>
  <c r="AE85" i="5"/>
  <c r="AD85" i="5"/>
  <c r="AF83" i="5"/>
  <c r="AE83" i="5"/>
  <c r="AD83" i="5"/>
  <c r="AF82" i="5"/>
  <c r="AE82" i="5"/>
  <c r="AD82" i="5"/>
  <c r="AF81" i="5"/>
  <c r="AE81" i="5"/>
  <c r="AD81" i="5"/>
  <c r="AF80" i="5"/>
  <c r="AE80" i="5"/>
  <c r="AD80" i="5"/>
  <c r="AF79" i="5"/>
  <c r="AE79" i="5"/>
  <c r="AD79" i="5"/>
  <c r="AF78" i="5"/>
  <c r="AE78" i="5"/>
  <c r="AD78" i="5"/>
  <c r="AF77" i="5"/>
  <c r="AE77" i="5"/>
  <c r="AD77" i="5"/>
  <c r="AF76" i="5"/>
  <c r="AE76" i="5"/>
  <c r="AD76" i="5"/>
  <c r="AF75" i="5"/>
  <c r="AE75" i="5"/>
  <c r="AD75" i="5"/>
  <c r="AF74" i="5"/>
  <c r="AE74" i="5"/>
  <c r="AD74" i="5"/>
  <c r="AF73" i="5"/>
  <c r="AE73" i="5"/>
  <c r="AD73" i="5"/>
  <c r="AF72" i="5"/>
  <c r="AE72" i="5"/>
  <c r="AD72" i="5"/>
  <c r="AF71" i="5"/>
  <c r="AE71" i="5"/>
  <c r="AD71" i="5"/>
  <c r="AF70" i="5"/>
  <c r="AE70" i="5"/>
  <c r="AD70" i="5"/>
  <c r="AF68" i="5"/>
  <c r="AE68" i="5"/>
  <c r="AD68" i="5"/>
  <c r="AF67" i="5"/>
  <c r="AE67" i="5"/>
  <c r="AD67" i="5"/>
  <c r="AF66" i="5"/>
  <c r="AE66" i="5"/>
  <c r="AD66" i="5"/>
  <c r="AF65" i="5"/>
  <c r="AE65" i="5"/>
  <c r="AD65" i="5"/>
  <c r="AF61" i="5"/>
  <c r="AE61" i="5"/>
  <c r="AD61" i="5"/>
  <c r="AF60" i="5"/>
  <c r="AE60" i="5"/>
  <c r="AD60" i="5"/>
  <c r="AF59" i="5"/>
  <c r="AE59" i="5"/>
  <c r="AD59" i="5"/>
  <c r="AF58" i="5"/>
  <c r="AE58" i="5"/>
  <c r="AD58" i="5"/>
  <c r="AF57" i="5"/>
  <c r="AE57" i="5"/>
  <c r="AD57" i="5"/>
  <c r="AF56" i="5"/>
  <c r="AE56" i="5"/>
  <c r="AD56" i="5"/>
  <c r="AF55" i="5"/>
  <c r="AE55" i="5"/>
  <c r="AD55" i="5"/>
  <c r="AF54" i="5"/>
  <c r="AE54" i="5"/>
  <c r="AD54" i="5"/>
  <c r="AF53" i="5"/>
  <c r="AE53" i="5"/>
  <c r="AD53" i="5"/>
  <c r="AF52" i="5"/>
  <c r="AE52" i="5"/>
  <c r="AD52" i="5"/>
  <c r="AF51" i="5"/>
  <c r="AE51" i="5"/>
  <c r="AD51" i="5"/>
  <c r="AF50" i="5"/>
  <c r="AE50" i="5"/>
  <c r="AD50" i="5"/>
  <c r="AF49" i="5"/>
  <c r="AE49" i="5"/>
  <c r="AD49" i="5"/>
  <c r="AF48" i="5"/>
  <c r="AE48" i="5"/>
  <c r="AD48" i="5"/>
  <c r="AF47" i="5"/>
  <c r="AE47" i="5"/>
  <c r="AD47" i="5"/>
  <c r="AF46" i="5"/>
  <c r="AE46" i="5"/>
  <c r="AD46" i="5"/>
  <c r="AF45" i="5"/>
  <c r="AE45" i="5"/>
  <c r="AD45" i="5"/>
  <c r="AF44" i="5"/>
  <c r="AE44" i="5"/>
  <c r="AD44" i="5"/>
  <c r="AF43" i="5"/>
  <c r="AE43" i="5"/>
  <c r="AD43" i="5"/>
  <c r="AF42" i="5"/>
  <c r="AE42" i="5"/>
  <c r="AD42" i="5"/>
  <c r="AF41" i="5"/>
  <c r="AE41" i="5"/>
  <c r="AD41" i="5"/>
  <c r="AF40" i="5"/>
  <c r="AE40" i="5"/>
  <c r="AD40" i="5"/>
  <c r="AF38" i="5"/>
  <c r="AE38" i="5"/>
  <c r="AD38" i="5"/>
  <c r="E97" i="13" l="1"/>
  <c r="E197" i="13"/>
  <c r="E166" i="13"/>
  <c r="E152" i="13"/>
  <c r="E123" i="13"/>
  <c r="E110" i="13"/>
  <c r="E66" i="13"/>
  <c r="F16" i="13"/>
  <c r="G16" i="13"/>
  <c r="H16" i="13"/>
  <c r="I16" i="13"/>
  <c r="J16" i="13"/>
  <c r="K16" i="13"/>
  <c r="L16" i="13"/>
  <c r="M16" i="13"/>
  <c r="N16" i="13"/>
  <c r="O16" i="13"/>
  <c r="Q16" i="13"/>
  <c r="F19" i="13"/>
  <c r="G19" i="13"/>
  <c r="H19" i="13"/>
  <c r="I19" i="13"/>
  <c r="J19" i="13"/>
  <c r="K19" i="13"/>
  <c r="L19" i="13"/>
  <c r="M19" i="13"/>
  <c r="N19" i="13"/>
  <c r="O19" i="13"/>
  <c r="Q19" i="13"/>
  <c r="F26" i="13"/>
  <c r="G26" i="13"/>
  <c r="H26" i="13"/>
  <c r="I26" i="13"/>
  <c r="J26" i="13"/>
  <c r="K26" i="13"/>
  <c r="L26" i="13"/>
  <c r="M26" i="13"/>
  <c r="N26" i="13"/>
  <c r="O26" i="13"/>
  <c r="Q26" i="13"/>
  <c r="F30" i="13"/>
  <c r="G30" i="13"/>
  <c r="H30" i="13"/>
  <c r="I30" i="13"/>
  <c r="J30" i="13"/>
  <c r="K30" i="13"/>
  <c r="L30" i="13"/>
  <c r="M30" i="13"/>
  <c r="N30" i="13"/>
  <c r="O30" i="13"/>
  <c r="Q30" i="13"/>
  <c r="F10" i="13"/>
  <c r="G10" i="13"/>
  <c r="H10" i="13"/>
  <c r="I10" i="13"/>
  <c r="J10" i="13"/>
  <c r="K10" i="13"/>
  <c r="L10" i="13"/>
  <c r="M10" i="13"/>
  <c r="N10" i="13"/>
  <c r="O10" i="13"/>
  <c r="Q10" i="13"/>
  <c r="E30" i="13"/>
  <c r="E26" i="13"/>
  <c r="E19" i="13"/>
  <c r="E16" i="13"/>
  <c r="E10" i="13"/>
  <c r="E36" i="13" s="1"/>
  <c r="M36" i="13" l="1"/>
  <c r="I36" i="13"/>
  <c r="Q36" i="13"/>
  <c r="F36" i="13"/>
  <c r="L36" i="13"/>
  <c r="G36" i="13"/>
  <c r="K36" i="13"/>
  <c r="H36" i="13"/>
  <c r="O36" i="13"/>
  <c r="N36" i="13"/>
  <c r="J36" i="13"/>
  <c r="AD12" i="5"/>
  <c r="AE12" i="5"/>
  <c r="AF12" i="5"/>
  <c r="AD13" i="5"/>
  <c r="AE13" i="5"/>
  <c r="AF13" i="5"/>
  <c r="AD14" i="5"/>
  <c r="AE14" i="5"/>
  <c r="AF14" i="5"/>
  <c r="AD16" i="5"/>
  <c r="AE16" i="5"/>
  <c r="AF16" i="5"/>
  <c r="AD17" i="5"/>
  <c r="AE17" i="5"/>
  <c r="AF17" i="5"/>
  <c r="AD18" i="5"/>
  <c r="AE18" i="5"/>
  <c r="AF18" i="5"/>
  <c r="AD19" i="5"/>
  <c r="AE19" i="5"/>
  <c r="AF19" i="5"/>
  <c r="AD20" i="5"/>
  <c r="AE20" i="5"/>
  <c r="AF20" i="5"/>
  <c r="AD21" i="5"/>
  <c r="AE21" i="5"/>
  <c r="AF21" i="5"/>
  <c r="AD22" i="5"/>
  <c r="AE22" i="5"/>
  <c r="AF22" i="5"/>
  <c r="AD23" i="5"/>
  <c r="AE23" i="5"/>
  <c r="AF23" i="5"/>
  <c r="AD24" i="5"/>
  <c r="AE24" i="5"/>
  <c r="AF24" i="5"/>
  <c r="AD27" i="5"/>
  <c r="AE27" i="5"/>
  <c r="AF27" i="5"/>
  <c r="AD28" i="5"/>
  <c r="AE28" i="5"/>
  <c r="AF28" i="5"/>
  <c r="AD29" i="5"/>
  <c r="AE29" i="5"/>
  <c r="AF29" i="5"/>
  <c r="AD30" i="5"/>
  <c r="AE30" i="5"/>
  <c r="AF30" i="5"/>
  <c r="AD31" i="5"/>
  <c r="AE31" i="5"/>
  <c r="AF31" i="5"/>
  <c r="AD32" i="5"/>
  <c r="AE32" i="5"/>
  <c r="AF32" i="5"/>
  <c r="AD33" i="5"/>
  <c r="AE33" i="5"/>
  <c r="AF33" i="5"/>
  <c r="AD34" i="5"/>
  <c r="AE34" i="5"/>
  <c r="AF34" i="5"/>
  <c r="AC36" i="5"/>
  <c r="AC37" i="5"/>
  <c r="C194" i="5"/>
  <c r="C163" i="5"/>
  <c r="C150" i="5"/>
  <c r="C151" i="5" s="1"/>
  <c r="C118" i="5"/>
  <c r="C119" i="5" s="1"/>
  <c r="C120" i="5" s="1"/>
  <c r="C122" i="5" s="1"/>
  <c r="C123" i="5" s="1"/>
  <c r="C124" i="5" s="1"/>
  <c r="C126" i="5" s="1"/>
  <c r="C127" i="5" s="1"/>
  <c r="C128" i="5" s="1"/>
  <c r="C130" i="5" s="1"/>
  <c r="C131" i="5" s="1"/>
  <c r="C132" i="5" s="1"/>
  <c r="C133" i="5" s="1"/>
  <c r="C113" i="5"/>
  <c r="C109" i="5"/>
  <c r="C110" i="5" s="1"/>
  <c r="C111" i="5" s="1"/>
  <c r="C107" i="5"/>
  <c r="C95" i="5"/>
  <c r="C96" i="5" s="1"/>
  <c r="C98" i="5" s="1"/>
  <c r="C99" i="5" s="1"/>
  <c r="C66" i="5"/>
  <c r="C67" i="5" s="1"/>
  <c r="C41" i="5"/>
  <c r="C42" i="5" s="1"/>
  <c r="C43" i="5" s="1"/>
  <c r="C44" i="5" s="1"/>
  <c r="C46" i="5" s="1"/>
  <c r="C47" i="5" s="1"/>
  <c r="C48" i="5" s="1"/>
  <c r="C49" i="5" s="1"/>
  <c r="C51" i="5" s="1"/>
  <c r="C52" i="5" s="1"/>
  <c r="C53" i="5" s="1"/>
  <c r="C55" i="5" s="1"/>
  <c r="C56" i="5" s="1"/>
  <c r="C58" i="5" s="1"/>
  <c r="C59" i="5" s="1"/>
  <c r="C61" i="5" s="1"/>
  <c r="B218" i="13"/>
  <c r="Y218" i="13" s="1"/>
  <c r="B219" i="13"/>
  <c r="Y219" i="13" s="1"/>
  <c r="B220" i="13"/>
  <c r="Y220" i="13" s="1"/>
  <c r="B221" i="13"/>
  <c r="Y221" i="13" s="1"/>
  <c r="B222" i="13"/>
  <c r="Y222" i="13" s="1"/>
  <c r="B223" i="13"/>
  <c r="Y223" i="13" s="1"/>
  <c r="B224" i="13"/>
  <c r="Y224" i="13" s="1"/>
  <c r="B225" i="13"/>
  <c r="Y225" i="13" s="1"/>
  <c r="B226" i="13"/>
  <c r="Y226" i="13" s="1"/>
  <c r="B227" i="13"/>
  <c r="Y227" i="13" s="1"/>
  <c r="B228" i="13"/>
  <c r="Y228" i="13" s="1"/>
  <c r="B229" i="13"/>
  <c r="Y229" i="13" s="1"/>
  <c r="B230" i="13"/>
  <c r="Y230" i="13" s="1"/>
  <c r="B217" i="13"/>
  <c r="Y217" i="13" s="1"/>
  <c r="D227" i="13"/>
  <c r="D228" i="13"/>
  <c r="D229" i="13"/>
  <c r="D230" i="13"/>
  <c r="B211" i="13"/>
  <c r="B208" i="13"/>
  <c r="B204" i="13"/>
  <c r="B200" i="13"/>
  <c r="B192" i="13"/>
  <c r="B189" i="13"/>
  <c r="B187" i="13"/>
  <c r="B183" i="13"/>
  <c r="B179" i="13"/>
  <c r="B175" i="13"/>
  <c r="B171" i="13"/>
  <c r="B169" i="13"/>
  <c r="B164" i="13"/>
  <c r="B162" i="13"/>
  <c r="B160" i="13"/>
  <c r="B155" i="13"/>
  <c r="B148" i="13"/>
  <c r="B144" i="13"/>
  <c r="B138" i="13"/>
  <c r="B134" i="13"/>
  <c r="B130" i="13"/>
  <c r="B126" i="13"/>
  <c r="B121" i="13"/>
  <c r="B117" i="13"/>
  <c r="B115" i="13"/>
  <c r="B113" i="13"/>
  <c r="B103" i="13"/>
  <c r="B100" i="13"/>
  <c r="B93" i="13"/>
  <c r="B90" i="13"/>
  <c r="B86" i="13"/>
  <c r="B83" i="13"/>
  <c r="B79" i="13"/>
  <c r="B75" i="13"/>
  <c r="B69" i="13"/>
  <c r="B63" i="13"/>
  <c r="B59" i="13"/>
  <c r="B56" i="13"/>
  <c r="B51" i="13"/>
  <c r="B46" i="13"/>
  <c r="B39" i="13"/>
  <c r="B30" i="13"/>
  <c r="B26" i="13"/>
  <c r="B19" i="13"/>
  <c r="B16" i="13"/>
  <c r="B10" i="13"/>
  <c r="B212" i="13"/>
  <c r="Y212" i="13" s="1"/>
  <c r="B213" i="13"/>
  <c r="Y213" i="13" s="1"/>
  <c r="B209" i="13"/>
  <c r="Y209" i="13" s="1"/>
  <c r="V209" i="13" s="1"/>
  <c r="B210" i="13"/>
  <c r="Y210" i="13" s="1"/>
  <c r="B205" i="13"/>
  <c r="Y205" i="13" s="1"/>
  <c r="B206" i="13"/>
  <c r="Y206" i="13" s="1"/>
  <c r="V206" i="13" s="1"/>
  <c r="B201" i="13"/>
  <c r="Y201" i="13" s="1"/>
  <c r="B194" i="13"/>
  <c r="Y194" i="13" s="1"/>
  <c r="B196" i="13"/>
  <c r="Y196" i="13" s="1"/>
  <c r="B191" i="13"/>
  <c r="Y191" i="13" s="1"/>
  <c r="Y189" i="13" s="1"/>
  <c r="B188" i="13"/>
  <c r="Y188" i="13" s="1"/>
  <c r="Y187" i="13" s="1"/>
  <c r="B185" i="13"/>
  <c r="Y185" i="13" s="1"/>
  <c r="B186" i="13"/>
  <c r="Y186" i="13" s="1"/>
  <c r="B181" i="13"/>
  <c r="Y181" i="13" s="1"/>
  <c r="B182" i="13"/>
  <c r="Y182" i="13" s="1"/>
  <c r="B177" i="13"/>
  <c r="Y177" i="13" s="1"/>
  <c r="B178" i="13"/>
  <c r="Y178" i="13" s="1"/>
  <c r="B173" i="13"/>
  <c r="Y173" i="13" s="1"/>
  <c r="B174" i="13"/>
  <c r="Y174" i="13" s="1"/>
  <c r="B170" i="13"/>
  <c r="Y170" i="13" s="1"/>
  <c r="Y169" i="13" s="1"/>
  <c r="B165" i="13"/>
  <c r="Y165" i="13" s="1"/>
  <c r="Y164" i="13" s="1"/>
  <c r="B163" i="13"/>
  <c r="Y163" i="13" s="1"/>
  <c r="Y162" i="13" s="1"/>
  <c r="B161" i="13"/>
  <c r="Y161" i="13" s="1"/>
  <c r="Y160" i="13" s="1"/>
  <c r="B156" i="13"/>
  <c r="Y156" i="13" s="1"/>
  <c r="B157" i="13"/>
  <c r="Y157" i="13" s="1"/>
  <c r="B158" i="13"/>
  <c r="Y158" i="13" s="1"/>
  <c r="B149" i="13"/>
  <c r="Y149" i="13" s="1"/>
  <c r="B150" i="13"/>
  <c r="Y150" i="13" s="1"/>
  <c r="B151" i="13"/>
  <c r="Y151" i="13" s="1"/>
  <c r="B145" i="13"/>
  <c r="Y145" i="13" s="1"/>
  <c r="B146" i="13"/>
  <c r="Y146" i="13" s="1"/>
  <c r="B147" i="13"/>
  <c r="Y147" i="13" s="1"/>
  <c r="B140" i="13"/>
  <c r="Y140" i="13" s="1"/>
  <c r="B141" i="13"/>
  <c r="Y141" i="13" s="1"/>
  <c r="B142" i="13"/>
  <c r="Y142" i="13" s="1"/>
  <c r="B136" i="13"/>
  <c r="Y136" i="13" s="1"/>
  <c r="B137" i="13"/>
  <c r="Y137" i="13" s="1"/>
  <c r="B132" i="13"/>
  <c r="Y132" i="13" s="1"/>
  <c r="B133" i="13"/>
  <c r="Y133" i="13" s="1"/>
  <c r="B128" i="13"/>
  <c r="Y128" i="13" s="1"/>
  <c r="B129" i="13"/>
  <c r="Y129" i="13" s="1"/>
  <c r="B122" i="13"/>
  <c r="Y122" i="13" s="1"/>
  <c r="Y121" i="13" s="1"/>
  <c r="B118" i="13"/>
  <c r="Y118" i="13" s="1"/>
  <c r="B119" i="13"/>
  <c r="Y119" i="13" s="1"/>
  <c r="B120" i="13"/>
  <c r="Y120" i="13" s="1"/>
  <c r="B116" i="13"/>
  <c r="Y116" i="13" s="1"/>
  <c r="Y115" i="13" s="1"/>
  <c r="B114" i="13"/>
  <c r="Y114" i="13" s="1"/>
  <c r="Y113" i="13" s="1"/>
  <c r="B105" i="13"/>
  <c r="Y105" i="13" s="1"/>
  <c r="B101" i="13"/>
  <c r="Y101" i="13" s="1"/>
  <c r="B102" i="13"/>
  <c r="Y102" i="13" s="1"/>
  <c r="B94" i="13"/>
  <c r="Y94" i="13" s="1"/>
  <c r="Y93" i="13" s="1"/>
  <c r="B91" i="13"/>
  <c r="Y91" i="13" s="1"/>
  <c r="B92" i="13"/>
  <c r="Y92" i="13" s="1"/>
  <c r="B87" i="13"/>
  <c r="Y87" i="13" s="1"/>
  <c r="B89" i="13"/>
  <c r="Y89" i="13" s="1"/>
  <c r="B84" i="13"/>
  <c r="Y84" i="13" s="1"/>
  <c r="B85" i="13"/>
  <c r="Y85" i="13" s="1"/>
  <c r="B80" i="13"/>
  <c r="Y80" i="13" s="1"/>
  <c r="V80" i="13" s="1"/>
  <c r="V81" i="13" s="1"/>
  <c r="B81" i="13"/>
  <c r="Y81" i="13" s="1"/>
  <c r="B76" i="13"/>
  <c r="Y76" i="13" s="1"/>
  <c r="B77" i="13"/>
  <c r="Y77" i="13" s="1"/>
  <c r="B78" i="13"/>
  <c r="Y78" i="13" s="1"/>
  <c r="B70" i="13"/>
  <c r="Y70" i="13" s="1"/>
  <c r="B71" i="13"/>
  <c r="Y71" i="13" s="1"/>
  <c r="B72" i="13"/>
  <c r="Y72" i="13" s="1"/>
  <c r="B73" i="13"/>
  <c r="Y73" i="13" s="1"/>
  <c r="B74" i="13"/>
  <c r="Y74" i="13" s="1"/>
  <c r="B64" i="13"/>
  <c r="Y64" i="13" s="1"/>
  <c r="Y63" i="13" s="1"/>
  <c r="B60" i="13"/>
  <c r="Y60" i="13" s="1"/>
  <c r="B61" i="13"/>
  <c r="Y61" i="13" s="1"/>
  <c r="B58" i="13"/>
  <c r="Y58" i="13" s="1"/>
  <c r="Y56" i="13" s="1"/>
  <c r="B52" i="13"/>
  <c r="Y52" i="13" s="1"/>
  <c r="B53" i="13"/>
  <c r="Y53" i="13" s="1"/>
  <c r="B54" i="13"/>
  <c r="Y54" i="13" s="1"/>
  <c r="B48" i="13"/>
  <c r="Y48" i="13" s="1"/>
  <c r="B49" i="13"/>
  <c r="Y49" i="13" s="1"/>
  <c r="B50" i="13"/>
  <c r="Y50" i="13" s="1"/>
  <c r="B41" i="13"/>
  <c r="Y41" i="13" s="1"/>
  <c r="B42" i="13"/>
  <c r="Y42" i="13" s="1"/>
  <c r="B43" i="13"/>
  <c r="Y43" i="13" s="1"/>
  <c r="B44" i="13"/>
  <c r="Y44" i="13" s="1"/>
  <c r="B45" i="13"/>
  <c r="Y45" i="13" s="1"/>
  <c r="B31" i="13"/>
  <c r="Y31" i="13" s="1"/>
  <c r="B32" i="13"/>
  <c r="Y32" i="13" s="1"/>
  <c r="B33" i="13"/>
  <c r="Y33" i="13" s="1"/>
  <c r="B27" i="13"/>
  <c r="Y27" i="13" s="1"/>
  <c r="B28" i="13"/>
  <c r="Y28" i="13" s="1"/>
  <c r="B29" i="13"/>
  <c r="Y29" i="13" s="1"/>
  <c r="B20" i="13"/>
  <c r="Y20" i="13" s="1"/>
  <c r="B21" i="13"/>
  <c r="Y21" i="13" s="1"/>
  <c r="B22" i="13"/>
  <c r="Y22" i="13" s="1"/>
  <c r="B25" i="13"/>
  <c r="Y25" i="13" s="1"/>
  <c r="B17" i="13"/>
  <c r="Y17" i="13" s="1"/>
  <c r="B18" i="13"/>
  <c r="Y18" i="13" s="1"/>
  <c r="B11" i="13"/>
  <c r="B12" i="13"/>
  <c r="Y12" i="13" s="1"/>
  <c r="B13" i="13"/>
  <c r="B14" i="13"/>
  <c r="Y14" i="13" s="1"/>
  <c r="B15" i="13"/>
  <c r="Y15" i="13" s="1"/>
  <c r="V136" i="5" l="1"/>
  <c r="O136" i="5"/>
  <c r="H136" i="5"/>
  <c r="E136" i="5"/>
  <c r="C69" i="5"/>
  <c r="C68" i="5"/>
  <c r="C70" i="5" s="1"/>
  <c r="C71" i="5" s="1"/>
  <c r="C73" i="5" s="1"/>
  <c r="C74" i="5" s="1"/>
  <c r="C75" i="5" s="1"/>
  <c r="C77" i="5" s="1"/>
  <c r="C78" i="5" s="1"/>
  <c r="C80" i="5" s="1"/>
  <c r="C81" i="5" s="1"/>
  <c r="C83" i="5" s="1"/>
  <c r="C85" i="5" s="1"/>
  <c r="C87" i="5" s="1"/>
  <c r="C88" i="5" s="1"/>
  <c r="C90" i="5" s="1"/>
  <c r="O104" i="5"/>
  <c r="V69" i="5"/>
  <c r="E105" i="5"/>
  <c r="E104" i="5"/>
  <c r="E69" i="5"/>
  <c r="W104" i="5"/>
  <c r="W69" i="5"/>
  <c r="E148" i="5"/>
  <c r="I104" i="5"/>
  <c r="P69" i="5"/>
  <c r="H69" i="5"/>
  <c r="I69" i="5"/>
  <c r="P104" i="5"/>
  <c r="H104" i="5"/>
  <c r="O69" i="5"/>
  <c r="W148" i="5"/>
  <c r="V148" i="5"/>
  <c r="I148" i="5"/>
  <c r="P148" i="5"/>
  <c r="V104" i="5"/>
  <c r="O148" i="5"/>
  <c r="H148" i="5"/>
  <c r="E26" i="5"/>
  <c r="C166" i="5"/>
  <c r="C167" i="5" s="1"/>
  <c r="C168" i="5" s="1"/>
  <c r="C173" i="5" s="1"/>
  <c r="C174" i="5" s="1"/>
  <c r="C175" i="5" s="1"/>
  <c r="C177" i="5" s="1"/>
  <c r="C178" i="5" s="1"/>
  <c r="C179" i="5" s="1"/>
  <c r="C181" i="5" s="1"/>
  <c r="C183" i="5" s="1"/>
  <c r="C184" i="5" s="1"/>
  <c r="C186" i="5" s="1"/>
  <c r="C164" i="5"/>
  <c r="Y19" i="13"/>
  <c r="O164" i="5"/>
  <c r="H164" i="5"/>
  <c r="E164" i="5"/>
  <c r="V164" i="5"/>
  <c r="C154" i="5"/>
  <c r="C156" i="5" s="1"/>
  <c r="C158" i="5" s="1"/>
  <c r="C152" i="5"/>
  <c r="V152" i="5"/>
  <c r="U152" i="21" s="1"/>
  <c r="O152" i="5"/>
  <c r="N152" i="21" s="1"/>
  <c r="E152" i="5"/>
  <c r="H152" i="5"/>
  <c r="G152" i="21" s="1"/>
  <c r="W188" i="5"/>
  <c r="V188" i="21" s="1"/>
  <c r="P188" i="5"/>
  <c r="O188" i="21" s="1"/>
  <c r="I188" i="5"/>
  <c r="H188" i="21" s="1"/>
  <c r="E188" i="5"/>
  <c r="C187" i="5"/>
  <c r="C189" i="5" s="1"/>
  <c r="C188" i="5"/>
  <c r="E39" i="5"/>
  <c r="D39" i="21" s="1"/>
  <c r="V39" i="5"/>
  <c r="U39" i="21" s="1"/>
  <c r="H39" i="5"/>
  <c r="G39" i="21" s="1"/>
  <c r="O39" i="5"/>
  <c r="N39" i="21" s="1"/>
  <c r="E162" i="5"/>
  <c r="E14" i="5"/>
  <c r="D14" i="21" s="1"/>
  <c r="P171" i="5"/>
  <c r="P170" i="5"/>
  <c r="W171" i="5"/>
  <c r="W170" i="5"/>
  <c r="P84" i="5"/>
  <c r="W84" i="5"/>
  <c r="P134" i="5"/>
  <c r="W134" i="5"/>
  <c r="W189" i="5"/>
  <c r="V189" i="21" s="1"/>
  <c r="W111" i="5"/>
  <c r="P141" i="5"/>
  <c r="W41" i="5"/>
  <c r="V41" i="21" s="1"/>
  <c r="P194" i="5"/>
  <c r="W56" i="5"/>
  <c r="V56" i="21" s="1"/>
  <c r="P29" i="5"/>
  <c r="O29" i="21" s="1"/>
  <c r="P178" i="5"/>
  <c r="P42" i="5"/>
  <c r="O42" i="21" s="1"/>
  <c r="W80" i="5"/>
  <c r="P58" i="5"/>
  <c r="O58" i="21" s="1"/>
  <c r="P107" i="5"/>
  <c r="W128" i="5"/>
  <c r="P197" i="5"/>
  <c r="W88" i="5"/>
  <c r="W15" i="5"/>
  <c r="V15" i="21" s="1"/>
  <c r="W120" i="5"/>
  <c r="P205" i="5"/>
  <c r="O205" i="21" s="1"/>
  <c r="W58" i="5"/>
  <c r="V58" i="21" s="1"/>
  <c r="W194" i="5"/>
  <c r="P199" i="5"/>
  <c r="W51" i="5"/>
  <c r="V51" i="21" s="1"/>
  <c r="P73" i="5"/>
  <c r="P203" i="5"/>
  <c r="O203" i="21" s="1"/>
  <c r="P78" i="5"/>
  <c r="W74" i="5"/>
  <c r="P34" i="5"/>
  <c r="O34" i="21" s="1"/>
  <c r="P138" i="5"/>
  <c r="W32" i="5"/>
  <c r="V32" i="21" s="1"/>
  <c r="W29" i="5"/>
  <c r="V29" i="21" s="1"/>
  <c r="W132" i="5"/>
  <c r="W141" i="5"/>
  <c r="W52" i="5"/>
  <c r="V52" i="21" s="1"/>
  <c r="W199" i="5"/>
  <c r="P206" i="5"/>
  <c r="O206" i="21" s="1"/>
  <c r="W71" i="5"/>
  <c r="P27" i="5"/>
  <c r="O27" i="21" s="1"/>
  <c r="P187" i="5"/>
  <c r="O187" i="21" s="1"/>
  <c r="P18" i="5"/>
  <c r="O18" i="21" s="1"/>
  <c r="W95" i="5"/>
  <c r="P32" i="5"/>
  <c r="O32" i="21" s="1"/>
  <c r="P128" i="5"/>
  <c r="P61" i="5"/>
  <c r="O61" i="21" s="1"/>
  <c r="P85" i="5"/>
  <c r="W19" i="5"/>
  <c r="V19" i="21" s="1"/>
  <c r="W127" i="5"/>
  <c r="W205" i="5"/>
  <c r="V205" i="21" s="1"/>
  <c r="W66" i="5"/>
  <c r="V66" i="21" s="1"/>
  <c r="P47" i="5"/>
  <c r="O47" i="21" s="1"/>
  <c r="W90" i="5"/>
  <c r="P66" i="5"/>
  <c r="O66" i="21" s="1"/>
  <c r="P19" i="5"/>
  <c r="O19" i="21" s="1"/>
  <c r="P83" i="5"/>
  <c r="W107" i="5"/>
  <c r="P21" i="5"/>
  <c r="O21" i="21" s="1"/>
  <c r="P123" i="5"/>
  <c r="P51" i="5"/>
  <c r="O51" i="21" s="1"/>
  <c r="W42" i="5"/>
  <c r="V42" i="21" s="1"/>
  <c r="W175" i="5"/>
  <c r="W83" i="5"/>
  <c r="P14" i="5"/>
  <c r="O14" i="21" s="1"/>
  <c r="W206" i="5"/>
  <c r="V206" i="21" s="1"/>
  <c r="W81" i="5"/>
  <c r="P40" i="5"/>
  <c r="O40" i="21" s="1"/>
  <c r="P111" i="5"/>
  <c r="P44" i="5"/>
  <c r="O44" i="21" s="1"/>
  <c r="W138" i="5"/>
  <c r="P43" i="5"/>
  <c r="O43" i="21" s="1"/>
  <c r="P184" i="5"/>
  <c r="O184" i="21" s="1"/>
  <c r="P41" i="5"/>
  <c r="O41" i="21" s="1"/>
  <c r="W59" i="5"/>
  <c r="V59" i="21" s="1"/>
  <c r="W168" i="5"/>
  <c r="P67" i="5"/>
  <c r="O67" i="21" s="1"/>
  <c r="W77" i="5"/>
  <c r="P99" i="5"/>
  <c r="P53" i="5"/>
  <c r="O53" i="21" s="1"/>
  <c r="W75" i="5"/>
  <c r="W53" i="5"/>
  <c r="V53" i="21" s="1"/>
  <c r="W196" i="5"/>
  <c r="P132" i="5"/>
  <c r="W99" i="5"/>
  <c r="P110" i="5"/>
  <c r="P127" i="5"/>
  <c r="W109" i="5"/>
  <c r="P90" i="5"/>
  <c r="P77" i="5"/>
  <c r="W21" i="5"/>
  <c r="V21" i="21" s="1"/>
  <c r="W123" i="5"/>
  <c r="P49" i="5"/>
  <c r="O49" i="21" s="1"/>
  <c r="P202" i="5"/>
  <c r="P95" i="5"/>
  <c r="W47" i="5"/>
  <c r="V47" i="21" s="1"/>
  <c r="W200" i="5"/>
  <c r="P175" i="5"/>
  <c r="W110" i="5"/>
  <c r="P131" i="5"/>
  <c r="P52" i="5"/>
  <c r="O52" i="21" s="1"/>
  <c r="W139" i="5"/>
  <c r="P81" i="5"/>
  <c r="P22" i="5"/>
  <c r="O22" i="21" s="1"/>
  <c r="W43" i="5"/>
  <c r="V43" i="21" s="1"/>
  <c r="W184" i="5"/>
  <c r="V184" i="21" s="1"/>
  <c r="P189" i="5"/>
  <c r="O189" i="21" s="1"/>
  <c r="W67" i="5"/>
  <c r="V67" i="21" s="1"/>
  <c r="P59" i="5"/>
  <c r="O59" i="21" s="1"/>
  <c r="P196" i="5"/>
  <c r="W131" i="5"/>
  <c r="P155" i="5"/>
  <c r="O155" i="21" s="1"/>
  <c r="W34" i="5"/>
  <c r="V34" i="21" s="1"/>
  <c r="W124" i="5"/>
  <c r="P109" i="5"/>
  <c r="P56" i="5"/>
  <c r="O56" i="21" s="1"/>
  <c r="W61" i="5"/>
  <c r="V61" i="21" s="1"/>
  <c r="W197" i="5"/>
  <c r="P88" i="5"/>
  <c r="W85" i="5"/>
  <c r="P120" i="5"/>
  <c r="W14" i="5"/>
  <c r="V14" i="21" s="1"/>
  <c r="W155" i="5"/>
  <c r="V155" i="21" s="1"/>
  <c r="P179" i="5"/>
  <c r="W22" i="5"/>
  <c r="V22" i="21" s="1"/>
  <c r="W163" i="5"/>
  <c r="P139" i="5"/>
  <c r="P71" i="5"/>
  <c r="W49" i="5"/>
  <c r="V49" i="21" s="1"/>
  <c r="W202" i="5"/>
  <c r="P80" i="5"/>
  <c r="W78" i="5"/>
  <c r="P168" i="5"/>
  <c r="W27" i="5"/>
  <c r="V27" i="21" s="1"/>
  <c r="W179" i="5"/>
  <c r="W44" i="5"/>
  <c r="V44" i="21" s="1"/>
  <c r="W178" i="5"/>
  <c r="P124" i="5"/>
  <c r="P75" i="5"/>
  <c r="P15" i="5"/>
  <c r="O15" i="21" s="1"/>
  <c r="P74" i="5"/>
  <c r="W73" i="5"/>
  <c r="P200" i="5"/>
  <c r="W18" i="5"/>
  <c r="V18" i="21" s="1"/>
  <c r="W40" i="5"/>
  <c r="V40" i="21" s="1"/>
  <c r="W203" i="5"/>
  <c r="P163" i="5"/>
  <c r="W187" i="5"/>
  <c r="V187" i="21" s="1"/>
  <c r="V212" i="13"/>
  <c r="V201" i="13"/>
  <c r="E11" i="5"/>
  <c r="V98" i="5"/>
  <c r="O98" i="5"/>
  <c r="H98" i="5"/>
  <c r="E84" i="5"/>
  <c r="I84" i="5"/>
  <c r="E25" i="5"/>
  <c r="D25" i="21" s="1"/>
  <c r="D26" i="21"/>
  <c r="E196" i="5"/>
  <c r="O195" i="5"/>
  <c r="H195" i="5"/>
  <c r="I196" i="5"/>
  <c r="C138" i="5"/>
  <c r="C139" i="5" s="1"/>
  <c r="C141" i="5" s="1"/>
  <c r="C142" i="5" s="1"/>
  <c r="C143" i="5" s="1"/>
  <c r="C134" i="5"/>
  <c r="Y83" i="13"/>
  <c r="Y86" i="13"/>
  <c r="Y192" i="13"/>
  <c r="Y144" i="13"/>
  <c r="Y171" i="13"/>
  <c r="Y148" i="13"/>
  <c r="Y175" i="13"/>
  <c r="Y179" i="13"/>
  <c r="Y155" i="13"/>
  <c r="Y183" i="13"/>
  <c r="E134" i="5"/>
  <c r="I134" i="5"/>
  <c r="Y138" i="13"/>
  <c r="Y51" i="13"/>
  <c r="Y75" i="13"/>
  <c r="Y100" i="13"/>
  <c r="Y26" i="13"/>
  <c r="Y117" i="13"/>
  <c r="E195" i="5"/>
  <c r="Y11" i="13"/>
  <c r="E197" i="5"/>
  <c r="I197" i="5"/>
  <c r="Y39" i="13"/>
  <c r="Y46" i="13"/>
  <c r="Y69" i="13"/>
  <c r="Y126" i="13"/>
  <c r="E222" i="5"/>
  <c r="Y13" i="13"/>
  <c r="Y130" i="13"/>
  <c r="Y30" i="13"/>
  <c r="Y103" i="13"/>
  <c r="Y134" i="13"/>
  <c r="Y79" i="13"/>
  <c r="Y16" i="13"/>
  <c r="Y59" i="13"/>
  <c r="C199" i="5"/>
  <c r="C200" i="5" s="1"/>
  <c r="C202" i="5" s="1"/>
  <c r="C203" i="5" s="1"/>
  <c r="C205" i="5" s="1"/>
  <c r="C206" i="5" s="1"/>
  <c r="C195" i="5"/>
  <c r="I18" i="5"/>
  <c r="H18" i="21" s="1"/>
  <c r="E17" i="5"/>
  <c r="D17" i="21" s="1"/>
  <c r="E30" i="5"/>
  <c r="D30" i="21" s="1"/>
  <c r="E16" i="5"/>
  <c r="D16" i="21" s="1"/>
  <c r="E223" i="5"/>
  <c r="I21" i="5"/>
  <c r="H21" i="21" s="1"/>
  <c r="E29" i="5"/>
  <c r="D29" i="21" s="1"/>
  <c r="I19" i="5"/>
  <c r="H19" i="21" s="1"/>
  <c r="I22" i="5"/>
  <c r="H22" i="21" s="1"/>
  <c r="E28" i="5"/>
  <c r="D28" i="21" s="1"/>
  <c r="H186" i="5"/>
  <c r="G186" i="21" s="1"/>
  <c r="H183" i="5"/>
  <c r="G183" i="21" s="1"/>
  <c r="H177" i="5"/>
  <c r="H130" i="5"/>
  <c r="H122" i="5"/>
  <c r="H46" i="5"/>
  <c r="G46" i="21" s="1"/>
  <c r="E185" i="5"/>
  <c r="E89" i="5"/>
  <c r="E108" i="5"/>
  <c r="I179" i="5"/>
  <c r="I127" i="5"/>
  <c r="I90" i="5"/>
  <c r="I59" i="5"/>
  <c r="H59" i="21" s="1"/>
  <c r="E182" i="5"/>
  <c r="E155" i="5"/>
  <c r="E86" i="5"/>
  <c r="E147" i="5"/>
  <c r="V46" i="5"/>
  <c r="U46" i="21" s="1"/>
  <c r="E50" i="5"/>
  <c r="D50" i="21" s="1"/>
  <c r="I199" i="5"/>
  <c r="I132" i="5"/>
  <c r="I107" i="5"/>
  <c r="I41" i="5"/>
  <c r="H41" i="21" s="1"/>
  <c r="E205" i="5"/>
  <c r="E202" i="5"/>
  <c r="E199" i="5"/>
  <c r="E189" i="5"/>
  <c r="E186" i="5"/>
  <c r="E183" i="5"/>
  <c r="E179" i="5"/>
  <c r="E177" i="5"/>
  <c r="E174" i="5"/>
  <c r="E171" i="5"/>
  <c r="E167" i="5"/>
  <c r="E163" i="5"/>
  <c r="E156" i="5"/>
  <c r="E151" i="5"/>
  <c r="E149" i="5"/>
  <c r="E142" i="5"/>
  <c r="E139" i="5"/>
  <c r="D137" i="21" s="1"/>
  <c r="E137" i="5"/>
  <c r="E132" i="5"/>
  <c r="E130" i="5"/>
  <c r="E127" i="5"/>
  <c r="E124" i="5"/>
  <c r="E122" i="5"/>
  <c r="E119" i="5"/>
  <c r="E113" i="5"/>
  <c r="E110" i="5"/>
  <c r="E107" i="5"/>
  <c r="E99" i="5"/>
  <c r="E96" i="5"/>
  <c r="E90" i="5"/>
  <c r="E87" i="5"/>
  <c r="E83" i="5"/>
  <c r="E80" i="5"/>
  <c r="E77" i="5"/>
  <c r="E74" i="5"/>
  <c r="E71" i="5"/>
  <c r="E68" i="5"/>
  <c r="D68" i="21" s="1"/>
  <c r="E66" i="5"/>
  <c r="D66" i="21" s="1"/>
  <c r="E59" i="5"/>
  <c r="D59" i="21" s="1"/>
  <c r="E56" i="5"/>
  <c r="D56" i="21" s="1"/>
  <c r="E53" i="5"/>
  <c r="D53" i="21" s="1"/>
  <c r="E51" i="5"/>
  <c r="D51" i="21" s="1"/>
  <c r="E48" i="5"/>
  <c r="D48" i="21" s="1"/>
  <c r="E46" i="5"/>
  <c r="D46" i="21" s="1"/>
  <c r="E43" i="5"/>
  <c r="D43" i="21" s="1"/>
  <c r="E41" i="5"/>
  <c r="D41" i="21" s="1"/>
  <c r="E180" i="5"/>
  <c r="E153" i="5"/>
  <c r="E82" i="5"/>
  <c r="E117" i="5"/>
  <c r="I110" i="5"/>
  <c r="I71" i="5"/>
  <c r="V173" i="5"/>
  <c r="V166" i="5"/>
  <c r="V126" i="5"/>
  <c r="V118" i="5"/>
  <c r="V55" i="5"/>
  <c r="U55" i="21" s="1"/>
  <c r="E176" i="5"/>
  <c r="E140" i="5"/>
  <c r="E79" i="5"/>
  <c r="E103" i="5"/>
  <c r="D103" i="21" s="1"/>
  <c r="E106" i="5"/>
  <c r="I189" i="5"/>
  <c r="H189" i="21" s="1"/>
  <c r="I124" i="5"/>
  <c r="I56" i="5"/>
  <c r="H56" i="21" s="1"/>
  <c r="E97" i="5"/>
  <c r="O173" i="5"/>
  <c r="O166" i="5"/>
  <c r="O126" i="5"/>
  <c r="O118" i="5"/>
  <c r="O55" i="5"/>
  <c r="N55" i="21" s="1"/>
  <c r="E172" i="5"/>
  <c r="E135" i="5"/>
  <c r="E76" i="5"/>
  <c r="E94" i="5"/>
  <c r="D94" i="21" s="1"/>
  <c r="V122" i="5"/>
  <c r="I80" i="5"/>
  <c r="I53" i="5"/>
  <c r="H53" i="21" s="1"/>
  <c r="I206" i="5"/>
  <c r="H206" i="21" s="1"/>
  <c r="I203" i="5"/>
  <c r="H203" i="21" s="1"/>
  <c r="I200" i="5"/>
  <c r="I194" i="5"/>
  <c r="I187" i="5"/>
  <c r="H187" i="21" s="1"/>
  <c r="I184" i="5"/>
  <c r="H184" i="21" s="1"/>
  <c r="I178" i="5"/>
  <c r="I175" i="5"/>
  <c r="I168" i="5"/>
  <c r="I141" i="5"/>
  <c r="I138" i="5"/>
  <c r="I131" i="5"/>
  <c r="I128" i="5"/>
  <c r="I123" i="5"/>
  <c r="I120" i="5"/>
  <c r="I111" i="5"/>
  <c r="I109" i="5"/>
  <c r="I95" i="5"/>
  <c r="I88" i="5"/>
  <c r="I85" i="5"/>
  <c r="I81" i="5"/>
  <c r="I78" i="5"/>
  <c r="I75" i="5"/>
  <c r="I73" i="5"/>
  <c r="I67" i="5"/>
  <c r="H67" i="21" s="1"/>
  <c r="I61" i="5"/>
  <c r="H61" i="21" s="1"/>
  <c r="I58" i="5"/>
  <c r="H58" i="21" s="1"/>
  <c r="I52" i="5"/>
  <c r="H52" i="21" s="1"/>
  <c r="I49" i="5"/>
  <c r="H49" i="21" s="1"/>
  <c r="I47" i="5"/>
  <c r="H47" i="21" s="1"/>
  <c r="I44" i="5"/>
  <c r="H44" i="21" s="1"/>
  <c r="I42" i="5"/>
  <c r="H42" i="21" s="1"/>
  <c r="I40" i="5"/>
  <c r="H40" i="21" s="1"/>
  <c r="E169" i="5"/>
  <c r="E129" i="5"/>
  <c r="D128" i="21" s="1"/>
  <c r="E72" i="5"/>
  <c r="E65" i="5"/>
  <c r="D65" i="21" s="1"/>
  <c r="E45" i="5"/>
  <c r="D45" i="21" s="1"/>
  <c r="I163" i="5"/>
  <c r="I66" i="5"/>
  <c r="H66" i="21" s="1"/>
  <c r="E198" i="5"/>
  <c r="H173" i="5"/>
  <c r="H166" i="5"/>
  <c r="H126" i="5"/>
  <c r="H118" i="5"/>
  <c r="H55" i="5"/>
  <c r="G55" i="21" s="1"/>
  <c r="E165" i="5"/>
  <c r="D162" i="21" s="1"/>
  <c r="E125" i="5"/>
  <c r="E60" i="5"/>
  <c r="D60" i="21" s="1"/>
  <c r="E38" i="5"/>
  <c r="D38" i="21" s="1"/>
  <c r="I99" i="5"/>
  <c r="E157" i="5"/>
  <c r="E121" i="5"/>
  <c r="E57" i="5"/>
  <c r="D57" i="21" s="1"/>
  <c r="E204" i="5"/>
  <c r="I205" i="5"/>
  <c r="H205" i="21" s="1"/>
  <c r="I74" i="5"/>
  <c r="I43" i="5"/>
  <c r="H43" i="21" s="1"/>
  <c r="E206" i="5"/>
  <c r="E203" i="5"/>
  <c r="E200" i="5"/>
  <c r="E194" i="5"/>
  <c r="E187" i="5"/>
  <c r="E184" i="5"/>
  <c r="E181" i="5"/>
  <c r="E178" i="5"/>
  <c r="E175" i="5"/>
  <c r="E173" i="5"/>
  <c r="E170" i="5"/>
  <c r="E168" i="5"/>
  <c r="E166" i="5"/>
  <c r="E158" i="5"/>
  <c r="E154" i="5"/>
  <c r="E150" i="5"/>
  <c r="D147" i="21" s="1"/>
  <c r="E143" i="5"/>
  <c r="E141" i="5"/>
  <c r="E138" i="5"/>
  <c r="D136" i="21" s="1"/>
  <c r="E133" i="5"/>
  <c r="E131" i="5"/>
  <c r="E128" i="5"/>
  <c r="E126" i="5"/>
  <c r="E123" i="5"/>
  <c r="E120" i="5"/>
  <c r="E118" i="5"/>
  <c r="D117" i="21" s="1"/>
  <c r="E111" i="5"/>
  <c r="E109" i="5"/>
  <c r="D108" i="21" s="1"/>
  <c r="D104" i="21"/>
  <c r="E98" i="5"/>
  <c r="E95" i="5"/>
  <c r="D95" i="21" s="1"/>
  <c r="E88" i="5"/>
  <c r="D88" i="21" s="1"/>
  <c r="E85" i="5"/>
  <c r="D85" i="21" s="1"/>
  <c r="E81" i="5"/>
  <c r="E78" i="5"/>
  <c r="E75" i="5"/>
  <c r="E73" i="5"/>
  <c r="E70" i="5"/>
  <c r="D69" i="21" s="1"/>
  <c r="E67" i="5"/>
  <c r="D67" i="21" s="1"/>
  <c r="E61" i="5"/>
  <c r="D61" i="21" s="1"/>
  <c r="E58" i="5"/>
  <c r="D58" i="21" s="1"/>
  <c r="E55" i="5"/>
  <c r="D55" i="21" s="1"/>
  <c r="E52" i="5"/>
  <c r="D52" i="21" s="1"/>
  <c r="E49" i="5"/>
  <c r="D49" i="21" s="1"/>
  <c r="E47" i="5"/>
  <c r="D47" i="21" s="1"/>
  <c r="E44" i="5"/>
  <c r="D44" i="21" s="1"/>
  <c r="E42" i="5"/>
  <c r="D42" i="21" s="1"/>
  <c r="E40" i="5"/>
  <c r="D40" i="21" s="1"/>
  <c r="E112" i="5"/>
  <c r="E54" i="5"/>
  <c r="D54" i="21" s="1"/>
  <c r="V130" i="5"/>
  <c r="I83" i="5"/>
  <c r="E193" i="5"/>
  <c r="V186" i="5"/>
  <c r="U186" i="21" s="1"/>
  <c r="V183" i="5"/>
  <c r="U183" i="21" s="1"/>
  <c r="V177" i="5"/>
  <c r="O186" i="5"/>
  <c r="N186" i="21" s="1"/>
  <c r="O183" i="5"/>
  <c r="N183" i="21" s="1"/>
  <c r="O177" i="5"/>
  <c r="O130" i="5"/>
  <c r="O122" i="5"/>
  <c r="O46" i="5"/>
  <c r="N46" i="21" s="1"/>
  <c r="E201" i="5"/>
  <c r="I155" i="5"/>
  <c r="H155" i="21" s="1"/>
  <c r="I202" i="5"/>
  <c r="I139" i="5"/>
  <c r="I77" i="5"/>
  <c r="I51" i="5"/>
  <c r="H51" i="21" s="1"/>
  <c r="E27" i="5"/>
  <c r="D27" i="21" s="1"/>
  <c r="I34" i="5"/>
  <c r="H34" i="21" s="1"/>
  <c r="E221" i="5"/>
  <c r="E15" i="5"/>
  <c r="D15" i="21" s="1"/>
  <c r="E24" i="5"/>
  <c r="D24" i="21" s="1"/>
  <c r="I15" i="5"/>
  <c r="H15" i="21" s="1"/>
  <c r="E23" i="5"/>
  <c r="D23" i="21" s="1"/>
  <c r="I32" i="5"/>
  <c r="H32" i="21" s="1"/>
  <c r="I14" i="5"/>
  <c r="H14" i="21" s="1"/>
  <c r="E32" i="5"/>
  <c r="D32" i="21" s="1"/>
  <c r="E13" i="5"/>
  <c r="D13" i="21" s="1"/>
  <c r="E22" i="5"/>
  <c r="D22" i="21" s="1"/>
  <c r="E18" i="5"/>
  <c r="D18" i="21" s="1"/>
  <c r="E12" i="5"/>
  <c r="D12" i="21" s="1"/>
  <c r="E21" i="5"/>
  <c r="D21" i="21" s="1"/>
  <c r="I29" i="5"/>
  <c r="H29" i="21" s="1"/>
  <c r="E31" i="5"/>
  <c r="D31" i="21" s="1"/>
  <c r="E34" i="5"/>
  <c r="D34" i="21" s="1"/>
  <c r="E20" i="5"/>
  <c r="D20" i="21" s="1"/>
  <c r="E33" i="5"/>
  <c r="D33" i="21" s="1"/>
  <c r="E19" i="5"/>
  <c r="D19" i="21" s="1"/>
  <c r="E220" i="5"/>
  <c r="AD245" i="5"/>
  <c r="AE245" i="5"/>
  <c r="AF245" i="5"/>
  <c r="E245" i="5"/>
  <c r="E249" i="5"/>
  <c r="V200" i="21" l="1"/>
  <c r="V203" i="21"/>
  <c r="D73" i="21"/>
  <c r="D105" i="21"/>
  <c r="D98" i="21"/>
  <c r="O85" i="21"/>
  <c r="D119" i="21"/>
  <c r="D195" i="21"/>
  <c r="D177" i="21"/>
  <c r="D164" i="21"/>
  <c r="D139" i="21"/>
  <c r="D171" i="21"/>
  <c r="D141" i="21"/>
  <c r="D200" i="21"/>
  <c r="D125" i="21"/>
  <c r="D78" i="21"/>
  <c r="D148" i="21"/>
  <c r="D132" i="21"/>
  <c r="D175" i="21"/>
  <c r="D83" i="21"/>
  <c r="D97" i="21"/>
  <c r="D135" i="21"/>
  <c r="D165" i="21"/>
  <c r="D202" i="21"/>
  <c r="D118" i="21"/>
  <c r="D77" i="21"/>
  <c r="D123" i="21"/>
  <c r="D198" i="21"/>
  <c r="D197" i="21"/>
  <c r="D75" i="21"/>
  <c r="D167" i="21"/>
  <c r="D122" i="21"/>
  <c r="D11" i="21"/>
  <c r="D169" i="21"/>
  <c r="D79" i="21"/>
  <c r="D71" i="21"/>
  <c r="V85" i="21"/>
  <c r="V81" i="21"/>
  <c r="H75" i="21"/>
  <c r="H85" i="21"/>
  <c r="H110" i="21"/>
  <c r="O74" i="21"/>
  <c r="V74" i="21"/>
  <c r="V110" i="21"/>
  <c r="O75" i="21"/>
  <c r="D178" i="21"/>
  <c r="D120" i="21"/>
  <c r="D138" i="21"/>
  <c r="D74" i="21"/>
  <c r="D121" i="21"/>
  <c r="D194" i="21"/>
  <c r="O78" i="21"/>
  <c r="D181" i="21"/>
  <c r="D173" i="21"/>
  <c r="D168" i="21"/>
  <c r="D107" i="21"/>
  <c r="O200" i="21"/>
  <c r="H197" i="21"/>
  <c r="D80" i="21"/>
  <c r="D126" i="21"/>
  <c r="D89" i="21"/>
  <c r="D193" i="21"/>
  <c r="H200" i="21"/>
  <c r="D129" i="21"/>
  <c r="D174" i="21"/>
  <c r="V84" i="21"/>
  <c r="D110" i="21"/>
  <c r="D87" i="21"/>
  <c r="D131" i="21"/>
  <c r="D176" i="21"/>
  <c r="V197" i="21"/>
  <c r="O84" i="21"/>
  <c r="D124" i="21"/>
  <c r="D72" i="21"/>
  <c r="D90" i="21"/>
  <c r="D91" i="21"/>
  <c r="D180" i="21"/>
  <c r="H84" i="21"/>
  <c r="V78" i="21"/>
  <c r="V139" i="21"/>
  <c r="D163" i="21"/>
  <c r="D96" i="21"/>
  <c r="D86" i="21"/>
  <c r="D84" i="21"/>
  <c r="O197" i="21"/>
  <c r="D166" i="21"/>
  <c r="H139" i="21"/>
  <c r="D99" i="21"/>
  <c r="D100" i="21"/>
  <c r="D140" i="21"/>
  <c r="D111" i="21"/>
  <c r="H74" i="21"/>
  <c r="H81" i="21"/>
  <c r="D106" i="21"/>
  <c r="D196" i="21"/>
  <c r="D179" i="21"/>
  <c r="V75" i="21"/>
  <c r="O110" i="21"/>
  <c r="D81" i="21"/>
  <c r="D127" i="21"/>
  <c r="D170" i="21"/>
  <c r="D76" i="21"/>
  <c r="D109" i="21"/>
  <c r="D199" i="21"/>
  <c r="H78" i="21"/>
  <c r="D130" i="21"/>
  <c r="D172" i="21"/>
  <c r="D201" i="21"/>
  <c r="D134" i="21"/>
  <c r="D82" i="21"/>
  <c r="D112" i="21"/>
  <c r="D133" i="21"/>
  <c r="O81" i="21"/>
  <c r="O139" i="21"/>
  <c r="D149" i="21"/>
  <c r="AJ104" i="13"/>
  <c r="AI104" i="13"/>
  <c r="AH104" i="13"/>
  <c r="V210" i="13"/>
  <c r="V213" i="13"/>
  <c r="V202" i="13"/>
  <c r="V203" i="13"/>
  <c r="C196" i="5"/>
  <c r="C197" i="5"/>
  <c r="Y10" i="13"/>
  <c r="AF256" i="5"/>
  <c r="AE256" i="5"/>
  <c r="AD256" i="5"/>
  <c r="E256" i="5"/>
  <c r="E255" i="5"/>
  <c r="AF255" i="5"/>
  <c r="AE255" i="5"/>
  <c r="AD255" i="5"/>
  <c r="AF252" i="5"/>
  <c r="AE252" i="5"/>
  <c r="AD252" i="5"/>
  <c r="E252" i="5"/>
  <c r="AF257" i="5"/>
  <c r="AE257" i="5"/>
  <c r="AD257" i="5"/>
  <c r="E257" i="5"/>
  <c r="AF250" i="5"/>
  <c r="AE250" i="5"/>
  <c r="AD250" i="5"/>
  <c r="E250" i="5"/>
  <c r="AF246" i="5"/>
  <c r="AE246" i="5"/>
  <c r="AD246" i="5"/>
  <c r="E246" i="5"/>
  <c r="E244" i="5"/>
  <c r="AF244" i="5"/>
  <c r="AE244" i="5"/>
  <c r="AD244" i="5"/>
  <c r="AF249" i="5"/>
  <c r="AE249" i="5"/>
  <c r="AD249" i="5"/>
  <c r="AF243" i="5"/>
  <c r="AE243" i="5"/>
  <c r="AD243" i="5"/>
  <c r="E243" i="5"/>
  <c r="AF234" i="5"/>
  <c r="AE234" i="5"/>
  <c r="AD234" i="5"/>
  <c r="E234" i="5"/>
  <c r="AF253" i="5"/>
  <c r="AE253" i="5"/>
  <c r="AD253" i="5"/>
  <c r="E253" i="5"/>
  <c r="L11" i="3" l="1"/>
  <c r="J9" i="13" s="1"/>
  <c r="L12" i="3"/>
  <c r="K9" i="13" s="1"/>
  <c r="L13" i="3"/>
  <c r="L9" i="13" s="1"/>
  <c r="L14" i="3"/>
  <c r="M9" i="13" s="1"/>
  <c r="L15" i="3"/>
  <c r="N9" i="13" s="1"/>
  <c r="L16" i="3"/>
  <c r="O9" i="13" s="1"/>
  <c r="L10" i="3"/>
  <c r="I9" i="13" s="1"/>
  <c r="L8" i="3"/>
  <c r="L9" i="3"/>
  <c r="L7" i="3"/>
  <c r="L6" i="3"/>
  <c r="L5" i="3"/>
  <c r="T101" i="13" l="1"/>
  <c r="P9" i="13"/>
  <c r="Q13" i="3"/>
  <c r="X6" i="13" s="1"/>
  <c r="X49" i="13" s="1"/>
  <c r="Q12" i="3"/>
  <c r="N38" i="13"/>
  <c r="N233" i="13"/>
  <c r="N199" i="13"/>
  <c r="N216" i="13"/>
  <c r="N154" i="13"/>
  <c r="N168" i="13"/>
  <c r="N125" i="13"/>
  <c r="N112" i="13"/>
  <c r="N99" i="13"/>
  <c r="N68" i="13"/>
  <c r="L38" i="13"/>
  <c r="L168" i="13"/>
  <c r="L99" i="13"/>
  <c r="L199" i="13"/>
  <c r="L154" i="13"/>
  <c r="L112" i="13"/>
  <c r="L216" i="13"/>
  <c r="L125" i="13"/>
  <c r="L68" i="13"/>
  <c r="L233" i="13"/>
  <c r="I168" i="13"/>
  <c r="I199" i="13"/>
  <c r="I112" i="13"/>
  <c r="I233" i="13"/>
  <c r="I99" i="13"/>
  <c r="I38" i="13"/>
  <c r="I125" i="13"/>
  <c r="I216" i="13"/>
  <c r="I154" i="13"/>
  <c r="I68" i="13"/>
  <c r="O38" i="13"/>
  <c r="O233" i="13"/>
  <c r="O199" i="13"/>
  <c r="O216" i="13"/>
  <c r="O154" i="13"/>
  <c r="O168" i="13"/>
  <c r="O125" i="13"/>
  <c r="O112" i="13"/>
  <c r="O99" i="13"/>
  <c r="O68" i="13"/>
  <c r="M154" i="13"/>
  <c r="M168" i="13"/>
  <c r="M112" i="13"/>
  <c r="M216" i="13"/>
  <c r="M99" i="13"/>
  <c r="M38" i="13"/>
  <c r="M199" i="13"/>
  <c r="M125" i="13"/>
  <c r="M68" i="13"/>
  <c r="M233" i="13"/>
  <c r="K233" i="13"/>
  <c r="K216" i="13"/>
  <c r="K112" i="13"/>
  <c r="K38" i="13"/>
  <c r="K168" i="13"/>
  <c r="K125" i="13"/>
  <c r="K68" i="13"/>
  <c r="K199" i="13"/>
  <c r="K99" i="13"/>
  <c r="K154" i="13"/>
  <c r="J233" i="13"/>
  <c r="J112" i="13"/>
  <c r="J154" i="13"/>
  <c r="J99" i="13"/>
  <c r="J199" i="13"/>
  <c r="J168" i="13"/>
  <c r="J38" i="13"/>
  <c r="J125" i="13"/>
  <c r="J216" i="13"/>
  <c r="J68" i="13"/>
  <c r="O256" i="13"/>
  <c r="N256" i="13"/>
  <c r="L256" i="13"/>
  <c r="K256" i="13"/>
  <c r="M256" i="13"/>
  <c r="J256" i="13"/>
  <c r="I256" i="13"/>
  <c r="P68" i="13" l="1"/>
  <c r="P38" i="13"/>
  <c r="P125" i="13"/>
  <c r="P233" i="13"/>
  <c r="P216" i="13"/>
  <c r="P199" i="13"/>
  <c r="P168" i="13"/>
  <c r="P154" i="13"/>
  <c r="P112" i="13"/>
  <c r="P99" i="13"/>
  <c r="X5" i="13"/>
  <c r="BR342" i="13"/>
  <c r="J37" i="11" s="1"/>
  <c r="BR345" i="13"/>
  <c r="J40" i="11" s="1"/>
  <c r="BR341" i="13"/>
  <c r="J36" i="11" s="1"/>
  <c r="BR351" i="13"/>
  <c r="BR347" i="13"/>
  <c r="J42" i="11" s="1"/>
  <c r="BR348" i="13"/>
  <c r="J43" i="11" s="1"/>
  <c r="BR344" i="13"/>
  <c r="J39" i="11" s="1"/>
  <c r="BR349" i="13"/>
  <c r="J44" i="11" s="1"/>
  <c r="BR350" i="13"/>
  <c r="BR343" i="13"/>
  <c r="J38" i="11" s="1"/>
  <c r="BR346" i="13"/>
  <c r="J41" i="11" s="1"/>
  <c r="W225" i="13"/>
  <c r="W226" i="13"/>
  <c r="W227" i="13"/>
  <c r="W228" i="13"/>
  <c r="W229" i="13"/>
  <c r="W189" i="13"/>
  <c r="W192" i="13"/>
  <c r="W175" i="13"/>
  <c r="W138" i="13"/>
  <c r="W144" i="13"/>
  <c r="W148" i="13"/>
  <c r="W130" i="13"/>
  <c r="BV192" i="13"/>
  <c r="BV189" i="13"/>
  <c r="BV148" i="13"/>
  <c r="D219" i="13"/>
  <c r="D220" i="13"/>
  <c r="D221" i="13"/>
  <c r="E214" i="5" s="1"/>
  <c r="D222" i="13"/>
  <c r="D223" i="13"/>
  <c r="D224" i="13"/>
  <c r="D225" i="13"/>
  <c r="D226" i="13"/>
  <c r="E216" i="5" l="1"/>
  <c r="E218" i="5"/>
  <c r="E217" i="5"/>
  <c r="E219" i="5"/>
  <c r="D220" i="21" s="1"/>
  <c r="E213" i="5"/>
  <c r="E215" i="5"/>
  <c r="E212" i="5"/>
  <c r="J46" i="11"/>
  <c r="O5" i="3"/>
  <c r="AA12" i="21"/>
  <c r="AA14" i="21"/>
  <c r="AA15" i="21"/>
  <c r="AA38" i="21"/>
  <c r="AA40" i="21"/>
  <c r="AA41" i="21"/>
  <c r="AA62" i="21"/>
  <c r="AA65" i="21"/>
  <c r="AA67" i="21"/>
  <c r="AA91" i="21"/>
  <c r="AA100" i="21"/>
  <c r="AA104" i="21"/>
  <c r="AA113" i="21"/>
  <c r="AA142" i="21"/>
  <c r="AA143" i="21"/>
  <c r="AA156" i="21"/>
  <c r="AA158" i="21"/>
  <c r="AA187" i="21"/>
  <c r="AA188" i="21"/>
  <c r="AA189" i="21"/>
  <c r="CD79" i="13"/>
  <c r="D216" i="21" l="1"/>
  <c r="D219" i="21"/>
  <c r="D214" i="21"/>
  <c r="D217" i="21"/>
  <c r="D215" i="21"/>
  <c r="D218" i="21"/>
  <c r="D213" i="21"/>
  <c r="CD39" i="13"/>
  <c r="CD211" i="13"/>
  <c r="CD208" i="13"/>
  <c r="CD204" i="13"/>
  <c r="CD200" i="13"/>
  <c r="CD138" i="13"/>
  <c r="CD115" i="13"/>
  <c r="CD117" i="13"/>
  <c r="CD95" i="13"/>
  <c r="CD93" i="13"/>
  <c r="CD83" i="13"/>
  <c r="CD75" i="13"/>
  <c r="CD55" i="13"/>
  <c r="CD51" i="13"/>
  <c r="CD46" i="13"/>
  <c r="CA117" i="13"/>
  <c r="CA75" i="13"/>
  <c r="CA46" i="13"/>
  <c r="CA39" i="13"/>
  <c r="BV218" i="13"/>
  <c r="BV219" i="13"/>
  <c r="BV220" i="13"/>
  <c r="BV221" i="13"/>
  <c r="BV222" i="13"/>
  <c r="BV223" i="13"/>
  <c r="BV224" i="13"/>
  <c r="BV225" i="13"/>
  <c r="BV204" i="13"/>
  <c r="BV207" i="13"/>
  <c r="BV208" i="13"/>
  <c r="BV211" i="13"/>
  <c r="BV171" i="13"/>
  <c r="BV179" i="13"/>
  <c r="BV183" i="13"/>
  <c r="BV187" i="13"/>
  <c r="BV159" i="13"/>
  <c r="BV160" i="13"/>
  <c r="BV164" i="13"/>
  <c r="BV134" i="13"/>
  <c r="BV138" i="13"/>
  <c r="BV144" i="13"/>
  <c r="BV115" i="13"/>
  <c r="BV117" i="13"/>
  <c r="BV121" i="13"/>
  <c r="BV103" i="13"/>
  <c r="BV106" i="13"/>
  <c r="BV107" i="13"/>
  <c r="BV108" i="13"/>
  <c r="BV109" i="13"/>
  <c r="BV155" i="13"/>
  <c r="BV169" i="13"/>
  <c r="BV200" i="13"/>
  <c r="BV217" i="13"/>
  <c r="BV126" i="13"/>
  <c r="BV113" i="13"/>
  <c r="BV100" i="13"/>
  <c r="BV75" i="13"/>
  <c r="BV79" i="13"/>
  <c r="BV82" i="13"/>
  <c r="BV83" i="13"/>
  <c r="BV86" i="13"/>
  <c r="BV90" i="13"/>
  <c r="BV93" i="13"/>
  <c r="BV95" i="13"/>
  <c r="BV96" i="13"/>
  <c r="BV69" i="13"/>
  <c r="BV59" i="13"/>
  <c r="BV62" i="13"/>
  <c r="BV63" i="13"/>
  <c r="BV65" i="13"/>
  <c r="BV56" i="13"/>
  <c r="BV55" i="13"/>
  <c r="BV51" i="13"/>
  <c r="BV46" i="13"/>
  <c r="BV39" i="13"/>
  <c r="BV16" i="13"/>
  <c r="BV19" i="13"/>
  <c r="BV26" i="13"/>
  <c r="BV30" i="13"/>
  <c r="BV10" i="13"/>
  <c r="AI193" i="5" l="1"/>
  <c r="AI198" i="5"/>
  <c r="AI201" i="5"/>
  <c r="AI204" i="5"/>
  <c r="AI129" i="5"/>
  <c r="AI108" i="5"/>
  <c r="AI106" i="5"/>
  <c r="AI89" i="5"/>
  <c r="AI79" i="5"/>
  <c r="AI76" i="5"/>
  <c r="AI72" i="5"/>
  <c r="AI50" i="5"/>
  <c r="AI45" i="5"/>
  <c r="AI38" i="5"/>
  <c r="D323" i="13"/>
  <c r="BW233" i="13"/>
  <c r="BW216" i="13"/>
  <c r="BW199" i="13"/>
  <c r="BW168" i="13"/>
  <c r="BW154" i="13"/>
  <c r="BW125" i="13"/>
  <c r="BW112" i="13"/>
  <c r="BW99" i="13"/>
  <c r="BW68" i="13"/>
  <c r="BW38" i="13"/>
  <c r="BW9" i="13"/>
  <c r="D291" i="13"/>
  <c r="D292" i="13"/>
  <c r="D293" i="13"/>
  <c r="D294" i="13"/>
  <c r="D295" i="13"/>
  <c r="D296" i="13"/>
  <c r="D297" i="13"/>
  <c r="D298" i="13"/>
  <c r="D299" i="13"/>
  <c r="D300" i="13"/>
  <c r="D301" i="13"/>
  <c r="D302" i="13"/>
  <c r="D303" i="13"/>
  <c r="D304" i="13"/>
  <c r="D305" i="13"/>
  <c r="D306" i="13"/>
  <c r="D307" i="13"/>
  <c r="D308" i="13"/>
  <c r="D309" i="13"/>
  <c r="D310" i="13"/>
  <c r="BZ38" i="13" l="1"/>
  <c r="BZ68" i="13"/>
  <c r="BZ199" i="13"/>
  <c r="BY68" i="13"/>
  <c r="BY199" i="13"/>
  <c r="CB235" i="13"/>
  <c r="CB154" i="13"/>
  <c r="CB99" i="13"/>
  <c r="BZ251" i="13"/>
  <c r="BZ235" i="13"/>
  <c r="CB216" i="13"/>
  <c r="BZ154" i="13"/>
  <c r="CB112" i="13"/>
  <c r="BZ99" i="13"/>
  <c r="CB251" i="13"/>
  <c r="BY251" i="13"/>
  <c r="BY235" i="13"/>
  <c r="CB168" i="13"/>
  <c r="BY154" i="13"/>
  <c r="BY99" i="13"/>
  <c r="CB38" i="13"/>
  <c r="BY125" i="13"/>
  <c r="CB236" i="13"/>
  <c r="CB233" i="13"/>
  <c r="BZ216" i="13"/>
  <c r="BZ112" i="13"/>
  <c r="BY216" i="13"/>
  <c r="CB125" i="13"/>
  <c r="CB68" i="13"/>
  <c r="BZ236" i="13"/>
  <c r="BZ233" i="13"/>
  <c r="CB199" i="13"/>
  <c r="BY168" i="13"/>
  <c r="BY38" i="13"/>
  <c r="BZ168" i="13"/>
  <c r="BY112" i="13"/>
  <c r="BY236" i="13"/>
  <c r="BY233" i="13"/>
  <c r="BZ125" i="13"/>
  <c r="AA220" i="21"/>
  <c r="AA218" i="21"/>
  <c r="AA208" i="21"/>
  <c r="AA177" i="21"/>
  <c r="AA176" i="21"/>
  <c r="AA159" i="21"/>
  <c r="AA145" i="21"/>
  <c r="AA139" i="21"/>
  <c r="AA138" i="21"/>
  <c r="AA99" i="21"/>
  <c r="AA97" i="21"/>
  <c r="AA95" i="21"/>
  <c r="AA13" i="21"/>
  <c r="AK5" i="5" l="1"/>
  <c r="AK4" i="5"/>
  <c r="AK3" i="5"/>
  <c r="AJ4" i="5" l="1"/>
  <c r="AS11" i="5" s="1"/>
  <c r="Z1" i="5"/>
  <c r="P2" i="12"/>
  <c r="P2" i="8"/>
  <c r="Y1" i="21"/>
  <c r="N2" i="11"/>
  <c r="AU255" i="5" l="1"/>
  <c r="AT252" i="5"/>
  <c r="AS257" i="5"/>
  <c r="AU256" i="5"/>
  <c r="AT255" i="5"/>
  <c r="AS252" i="5"/>
  <c r="AU257" i="5"/>
  <c r="AT256" i="5"/>
  <c r="AS255" i="5"/>
  <c r="AS256" i="5"/>
  <c r="AU252" i="5"/>
  <c r="AT257" i="5"/>
  <c r="AU244" i="5"/>
  <c r="AT244" i="5"/>
  <c r="AS244" i="5"/>
  <c r="AU234" i="5"/>
  <c r="AS234" i="5"/>
  <c r="AT234" i="5"/>
  <c r="AA9" i="21"/>
  <c r="AU253" i="5"/>
  <c r="AT253" i="5"/>
  <c r="AS253" i="5"/>
  <c r="AA7" i="21"/>
  <c r="AB9" i="5"/>
  <c r="AS27" i="5"/>
  <c r="AA4" i="21"/>
  <c r="AA5" i="21"/>
  <c r="AU35" i="5"/>
  <c r="AU27" i="5"/>
  <c r="AU57" i="5"/>
  <c r="AU60" i="5"/>
  <c r="AS162" i="5"/>
  <c r="AT209" i="5"/>
  <c r="AU215" i="5"/>
  <c r="AS193" i="5"/>
  <c r="AU117" i="5"/>
  <c r="AS214" i="5"/>
  <c r="AT102" i="5"/>
  <c r="AS198" i="5"/>
  <c r="AT91" i="5"/>
  <c r="AT64" i="5"/>
  <c r="AT57" i="5"/>
  <c r="AT50" i="5"/>
  <c r="AT79" i="5"/>
  <c r="AT212" i="5"/>
  <c r="AU254" i="5"/>
  <c r="AS201" i="5"/>
  <c r="AU63" i="5"/>
  <c r="AU165" i="5"/>
  <c r="AT147" i="5"/>
  <c r="AU176" i="5"/>
  <c r="AS82" i="5"/>
  <c r="AT17" i="5"/>
  <c r="AU20" i="5"/>
  <c r="AS35" i="5"/>
  <c r="AU17" i="5"/>
  <c r="AS17" i="5"/>
  <c r="AU159" i="5"/>
  <c r="AS64" i="5"/>
  <c r="AS116" i="5"/>
  <c r="AS207" i="5"/>
  <c r="AT192" i="5"/>
  <c r="AU190" i="5"/>
  <c r="AS89" i="5"/>
  <c r="AS146" i="5"/>
  <c r="AS215" i="5"/>
  <c r="AT103" i="5"/>
  <c r="AT214" i="5"/>
  <c r="AS161" i="5"/>
  <c r="AU102" i="5"/>
  <c r="AT65" i="5"/>
  <c r="AS204" i="5"/>
  <c r="AU144" i="5"/>
  <c r="AT94" i="5"/>
  <c r="AT216" i="5"/>
  <c r="AS165" i="5"/>
  <c r="AU106" i="5"/>
  <c r="AT76" i="5"/>
  <c r="AT201" i="5"/>
  <c r="AS144" i="5"/>
  <c r="AU93" i="5"/>
  <c r="AV193" i="5"/>
  <c r="AT36" i="5"/>
  <c r="AU11" i="5"/>
  <c r="AU112" i="5"/>
  <c r="AU36" i="5"/>
  <c r="AS36" i="5"/>
  <c r="AU207" i="5"/>
  <c r="AS106" i="5"/>
  <c r="AT63" i="5"/>
  <c r="AU160" i="5"/>
  <c r="AS65" i="5"/>
  <c r="AU125" i="5"/>
  <c r="AT213" i="5"/>
  <c r="AU101" i="5"/>
  <c r="AT60" i="5"/>
  <c r="AS176" i="5"/>
  <c r="AT129" i="5"/>
  <c r="AT92" i="5"/>
  <c r="AT159" i="5"/>
  <c r="AU115" i="5"/>
  <c r="AT108" i="5"/>
  <c r="AU208" i="5"/>
  <c r="AS224" i="5"/>
  <c r="AT114" i="5"/>
  <c r="AS208" i="5"/>
  <c r="AU146" i="5"/>
  <c r="AT27" i="5"/>
  <c r="AT11" i="5"/>
  <c r="AT35" i="5"/>
  <c r="AU31" i="5"/>
  <c r="AS54" i="5"/>
  <c r="AT146" i="5"/>
  <c r="AT215" i="5"/>
  <c r="AU103" i="5"/>
  <c r="AU192" i="5"/>
  <c r="AU180" i="5"/>
  <c r="AT115" i="5"/>
  <c r="AS86" i="5"/>
  <c r="AT162" i="5"/>
  <c r="AU209" i="5"/>
  <c r="AU100" i="5"/>
  <c r="AU211" i="5"/>
  <c r="AT157" i="5"/>
  <c r="AS100" i="5"/>
  <c r="AU62" i="5"/>
  <c r="AT198" i="5"/>
  <c r="AS254" i="5"/>
  <c r="AU91" i="5"/>
  <c r="AU213" i="5"/>
  <c r="AT160" i="5"/>
  <c r="AS102" i="5"/>
  <c r="AU64" i="5"/>
  <c r="AU193" i="5"/>
  <c r="AT125" i="5"/>
  <c r="AS91" i="5"/>
  <c r="AV108" i="5"/>
  <c r="AS192" i="5"/>
  <c r="AS160" i="5"/>
  <c r="AT20" i="5"/>
  <c r="AT37" i="5"/>
  <c r="AT97" i="5"/>
  <c r="AT93" i="5"/>
  <c r="AS217" i="5"/>
  <c r="AU50" i="5"/>
  <c r="AS37" i="5"/>
  <c r="AU54" i="5"/>
  <c r="AS31" i="5"/>
  <c r="AS57" i="5"/>
  <c r="AT54" i="5"/>
  <c r="AS125" i="5"/>
  <c r="AS210" i="5"/>
  <c r="AT172" i="5"/>
  <c r="AT217" i="5"/>
  <c r="AS172" i="5"/>
  <c r="AU108" i="5"/>
  <c r="AS153" i="5"/>
  <c r="AS218" i="5"/>
  <c r="AT112" i="5"/>
  <c r="AS209" i="5"/>
  <c r="AU147" i="5"/>
  <c r="AT218" i="5"/>
  <c r="AU191" i="5"/>
  <c r="AT117" i="5"/>
  <c r="AS211" i="5"/>
  <c r="AU153" i="5"/>
  <c r="AS62" i="5"/>
  <c r="AS191" i="5"/>
  <c r="AU116" i="5"/>
  <c r="AT89" i="5"/>
  <c r="AW45" i="5"/>
  <c r="AT45" i="5"/>
  <c r="AS93" i="5"/>
  <c r="AS159" i="5"/>
  <c r="AU214" i="5"/>
  <c r="AT161" i="5"/>
  <c r="AS103" i="5"/>
  <c r="AU65" i="5"/>
  <c r="AU129" i="5"/>
  <c r="AU212" i="5"/>
  <c r="AS101" i="5"/>
  <c r="AS190" i="5"/>
  <c r="AU92" i="5"/>
  <c r="AT204" i="5"/>
  <c r="AS145" i="5"/>
  <c r="AU94" i="5"/>
  <c r="AT224" i="5"/>
  <c r="AS180" i="5"/>
  <c r="AU114" i="5"/>
  <c r="AT82" i="5"/>
  <c r="AT208" i="5"/>
  <c r="AS147" i="5"/>
  <c r="AU218" i="5"/>
  <c r="AT176" i="5"/>
  <c r="AS114" i="5"/>
  <c r="AU79" i="5"/>
  <c r="AV45" i="5"/>
  <c r="AS60" i="5"/>
  <c r="AS20" i="5"/>
  <c r="AU45" i="5"/>
  <c r="AS213" i="5"/>
  <c r="AT101" i="5"/>
  <c r="AT190" i="5"/>
  <c r="AU86" i="5"/>
  <c r="AU145" i="5"/>
  <c r="AS212" i="5"/>
  <c r="AU157" i="5"/>
  <c r="AT100" i="5"/>
  <c r="AS63" i="5"/>
  <c r="AT116" i="5"/>
  <c r="AT207" i="5"/>
  <c r="AU97" i="5"/>
  <c r="AU161" i="5"/>
  <c r="AT86" i="5"/>
  <c r="AU198" i="5"/>
  <c r="AT254" i="5"/>
  <c r="AS92" i="5"/>
  <c r="AU216" i="5"/>
  <c r="AT165" i="5"/>
  <c r="AS108" i="5"/>
  <c r="AU76" i="5"/>
  <c r="AU201" i="5"/>
  <c r="AT144" i="5"/>
  <c r="AS94" i="5"/>
  <c r="AS216" i="5"/>
  <c r="AU162" i="5"/>
  <c r="AT106" i="5"/>
  <c r="AS76" i="5"/>
  <c r="AS45" i="5"/>
  <c r="AS50" i="5"/>
  <c r="AU37" i="5"/>
  <c r="AT31" i="5"/>
  <c r="AT193" i="5"/>
  <c r="AU217" i="5"/>
  <c r="AS112" i="5"/>
  <c r="AU204" i="5"/>
  <c r="AT145" i="5"/>
  <c r="AS97" i="5"/>
  <c r="AT210" i="5"/>
  <c r="AU172" i="5"/>
  <c r="AS79" i="5"/>
  <c r="AS129" i="5"/>
  <c r="AU224" i="5"/>
  <c r="AT180" i="5"/>
  <c r="AS115" i="5"/>
  <c r="AU82" i="5"/>
  <c r="AT211" i="5"/>
  <c r="AS157" i="5"/>
  <c r="AT62" i="5"/>
  <c r="AT191" i="5"/>
  <c r="AS117" i="5"/>
  <c r="AU89" i="5"/>
  <c r="AU210" i="5"/>
  <c r="AT153" i="5"/>
  <c r="BW5" i="13"/>
  <c r="G9" i="13"/>
  <c r="F9" i="13"/>
  <c r="E9" i="13"/>
  <c r="AB5" i="13"/>
  <c r="H9" i="13"/>
  <c r="D6" i="13"/>
  <c r="E254" i="5"/>
  <c r="N6" i="11"/>
  <c r="E54" i="3"/>
  <c r="D3" i="12"/>
  <c r="O93" i="16"/>
  <c r="O94" i="16"/>
  <c r="O95" i="16"/>
  <c r="O96" i="16"/>
  <c r="O97" i="16"/>
  <c r="I27" i="16"/>
  <c r="I41" i="16"/>
  <c r="I57" i="16"/>
  <c r="I66" i="16"/>
  <c r="I73" i="16"/>
  <c r="I84" i="16"/>
  <c r="I92" i="16"/>
  <c r="I15" i="16"/>
  <c r="F2" i="3"/>
  <c r="B17" i="3"/>
  <c r="I16" i="16"/>
  <c r="I28" i="16"/>
  <c r="I42" i="16"/>
  <c r="I50" i="16"/>
  <c r="I51" i="16"/>
  <c r="I58" i="16"/>
  <c r="I67" i="16"/>
  <c r="I74" i="16"/>
  <c r="I85" i="16"/>
  <c r="I93"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60" i="16"/>
  <c r="O61" i="16"/>
  <c r="O63" i="16"/>
  <c r="O64" i="16"/>
  <c r="O65" i="16"/>
  <c r="O66" i="16"/>
  <c r="O67" i="16"/>
  <c r="O68" i="16"/>
  <c r="O69" i="16"/>
  <c r="O70" i="16"/>
  <c r="O71" i="16"/>
  <c r="O72" i="16"/>
  <c r="O73" i="16"/>
  <c r="O74" i="16"/>
  <c r="O75" i="16"/>
  <c r="O77" i="16"/>
  <c r="O78" i="16"/>
  <c r="O79" i="16"/>
  <c r="O82" i="16"/>
  <c r="O83" i="16"/>
  <c r="O84" i="16"/>
  <c r="O85" i="16"/>
  <c r="O86" i="16"/>
  <c r="O87" i="16"/>
  <c r="O88" i="16"/>
  <c r="O89" i="16"/>
  <c r="O90" i="16"/>
  <c r="O91" i="16"/>
  <c r="O92" i="16"/>
  <c r="O6" i="16"/>
  <c r="K11" i="21"/>
  <c r="AF15" i="21"/>
  <c r="J37" i="21"/>
  <c r="K37" i="21"/>
  <c r="M37" i="21"/>
  <c r="P37" i="21"/>
  <c r="Q37" i="21"/>
  <c r="R37" i="21"/>
  <c r="T37" i="21"/>
  <c r="W37" i="21"/>
  <c r="X37" i="21"/>
  <c r="AG98" i="21"/>
  <c r="AH98" i="21"/>
  <c r="K64" i="21"/>
  <c r="M64" i="21"/>
  <c r="T64" i="21"/>
  <c r="AG209" i="21"/>
  <c r="AH209" i="21"/>
  <c r="AG96" i="21"/>
  <c r="AH96" i="21"/>
  <c r="O8" i="3"/>
  <c r="O9" i="3"/>
  <c r="O10" i="3"/>
  <c r="O11" i="3"/>
  <c r="O12" i="3"/>
  <c r="O13" i="3"/>
  <c r="O6" i="3"/>
  <c r="O7" i="3"/>
  <c r="U4" i="5"/>
  <c r="N4" i="5"/>
  <c r="B40" i="3"/>
  <c r="AW267" i="13"/>
  <c r="AC23" i="11"/>
  <c r="AC24" i="11"/>
  <c r="AC25" i="11"/>
  <c r="AC26" i="11"/>
  <c r="AC27" i="11"/>
  <c r="AC28" i="11"/>
  <c r="AC29" i="11"/>
  <c r="AC30" i="11"/>
  <c r="AC31" i="11"/>
  <c r="AC32" i="11"/>
  <c r="AF22" i="11"/>
  <c r="AE36" i="11" s="1"/>
  <c r="AE22" i="11"/>
  <c r="AD36" i="11" s="1"/>
  <c r="AD22" i="11"/>
  <c r="AC36" i="11" s="1"/>
  <c r="AB37" i="11"/>
  <c r="AB36" i="11"/>
  <c r="D6" i="11"/>
  <c r="C3" i="12"/>
  <c r="E6" i="5"/>
  <c r="D6" i="21" s="1"/>
  <c r="M6" i="11"/>
  <c r="AC63" i="5"/>
  <c r="AC64" i="5"/>
  <c r="AC92" i="5"/>
  <c r="AC93" i="5"/>
  <c r="AC101" i="5"/>
  <c r="AC102" i="5"/>
  <c r="AC115" i="5"/>
  <c r="AC116" i="5"/>
  <c r="AC145" i="5"/>
  <c r="AC146" i="5"/>
  <c r="AC160" i="5"/>
  <c r="AC161" i="5"/>
  <c r="AC191" i="5"/>
  <c r="AC192" i="5"/>
  <c r="AC208" i="5"/>
  <c r="AC209" i="5"/>
  <c r="AC10" i="5"/>
  <c r="AD254" i="5"/>
  <c r="AE254" i="5"/>
  <c r="AF254" i="5"/>
  <c r="AF11" i="5"/>
  <c r="AE11" i="5"/>
  <c r="AD11" i="5"/>
  <c r="W59" i="13"/>
  <c r="W63" i="13"/>
  <c r="W69" i="13"/>
  <c r="W75" i="13"/>
  <c r="W79" i="13"/>
  <c r="W83" i="13"/>
  <c r="W86" i="13"/>
  <c r="W93" i="13"/>
  <c r="W100" i="13"/>
  <c r="W103" i="13"/>
  <c r="W113" i="13"/>
  <c r="W115" i="13"/>
  <c r="W117" i="13"/>
  <c r="W121" i="13"/>
  <c r="W126" i="13"/>
  <c r="W134" i="13"/>
  <c r="W155" i="13"/>
  <c r="W160" i="13"/>
  <c r="W164" i="13"/>
  <c r="W169" i="13"/>
  <c r="W171" i="13"/>
  <c r="W179" i="13"/>
  <c r="W183" i="13"/>
  <c r="W187" i="13"/>
  <c r="W200" i="13"/>
  <c r="W204" i="13"/>
  <c r="W208" i="13"/>
  <c r="W211" i="13"/>
  <c r="W217" i="13"/>
  <c r="W218" i="13"/>
  <c r="W219" i="13"/>
  <c r="W220" i="13"/>
  <c r="W221" i="13"/>
  <c r="W222" i="13"/>
  <c r="W223" i="13"/>
  <c r="W224" i="13"/>
  <c r="W16" i="13"/>
  <c r="W19" i="13"/>
  <c r="W26" i="13"/>
  <c r="W30" i="13"/>
  <c r="W34" i="13"/>
  <c r="W35" i="13"/>
  <c r="W39" i="13"/>
  <c r="W46" i="13"/>
  <c r="W51" i="13"/>
  <c r="W56" i="13"/>
  <c r="W10" i="13"/>
  <c r="E211" i="5"/>
  <c r="D212" i="21" s="1"/>
  <c r="D217" i="13"/>
  <c r="V310" i="11"/>
  <c r="V307" i="11"/>
  <c r="V306" i="11"/>
  <c r="V305" i="11"/>
  <c r="V304" i="11"/>
  <c r="V303" i="11"/>
  <c r="V308" i="11"/>
  <c r="T310" i="11"/>
  <c r="T309" i="11"/>
  <c r="T308" i="11"/>
  <c r="T307" i="11"/>
  <c r="T306" i="11"/>
  <c r="T305" i="11"/>
  <c r="T304" i="11"/>
  <c r="T303" i="11"/>
  <c r="T302" i="11"/>
  <c r="T301" i="11"/>
  <c r="V301" i="11"/>
  <c r="V309" i="11"/>
  <c r="V302" i="11"/>
  <c r="C54" i="3"/>
  <c r="E5" i="5"/>
  <c r="D5" i="21" s="1"/>
  <c r="BB249" i="13" l="1"/>
  <c r="AY249" i="13"/>
  <c r="AX249" i="13"/>
  <c r="BA249" i="13"/>
  <c r="AZ249" i="13"/>
  <c r="S249" i="13"/>
  <c r="S252" i="13"/>
  <c r="AA252" i="13" s="1"/>
  <c r="S253" i="13"/>
  <c r="S254" i="13"/>
  <c r="AA254" i="13" s="1"/>
  <c r="BB72" i="13"/>
  <c r="BA72" i="13"/>
  <c r="E210" i="5"/>
  <c r="D211" i="21" s="1"/>
  <c r="S250" i="13"/>
  <c r="AA250" i="13" s="1"/>
  <c r="BB251" i="13"/>
  <c r="BA251" i="13"/>
  <c r="AZ251" i="13"/>
  <c r="AY250" i="13"/>
  <c r="AY251" i="13"/>
  <c r="AX251" i="13"/>
  <c r="BB250" i="13"/>
  <c r="BA250" i="13"/>
  <c r="AZ250" i="13"/>
  <c r="AX250" i="13"/>
  <c r="S40" i="13"/>
  <c r="Z40" i="13" s="1"/>
  <c r="S195" i="13"/>
  <c r="Z195" i="13" s="1"/>
  <c r="BB234" i="13"/>
  <c r="AZ234" i="13"/>
  <c r="BA234" i="13"/>
  <c r="AY234" i="13"/>
  <c r="AX234" i="13"/>
  <c r="BA12" i="13"/>
  <c r="BB12" i="13"/>
  <c r="BA11" i="13"/>
  <c r="BB11" i="13"/>
  <c r="S88" i="13"/>
  <c r="Z88" i="13" s="1"/>
  <c r="BB245" i="13"/>
  <c r="BA245" i="13"/>
  <c r="AZ245" i="13"/>
  <c r="AX245" i="13"/>
  <c r="S245" i="13"/>
  <c r="AA245" i="13" s="1"/>
  <c r="AY245" i="13"/>
  <c r="BB23" i="13"/>
  <c r="AZ23" i="13"/>
  <c r="BA23" i="13"/>
  <c r="S23" i="13"/>
  <c r="Z23" i="13" s="1"/>
  <c r="S24" i="13"/>
  <c r="Z24" i="13" s="1"/>
  <c r="BB248" i="13"/>
  <c r="BA248" i="13"/>
  <c r="AZ248" i="13"/>
  <c r="AY248" i="13"/>
  <c r="AX248" i="13"/>
  <c r="S248" i="13"/>
  <c r="AA248" i="13" s="1"/>
  <c r="S143" i="13"/>
  <c r="Z143" i="13" s="1"/>
  <c r="BB27" i="13"/>
  <c r="BA22" i="13"/>
  <c r="BB25" i="13"/>
  <c r="BA27" i="13"/>
  <c r="BA25" i="13"/>
  <c r="BB22" i="13"/>
  <c r="AX27" i="13"/>
  <c r="AZ27" i="13"/>
  <c r="AY27" i="13"/>
  <c r="BA73" i="13"/>
  <c r="AZ29" i="13"/>
  <c r="BB29" i="13"/>
  <c r="BA29" i="13"/>
  <c r="AZ22" i="13"/>
  <c r="AY22" i="13"/>
  <c r="BB73" i="13"/>
  <c r="AX22" i="13"/>
  <c r="S158" i="13"/>
  <c r="Z158" i="13" s="1"/>
  <c r="S185" i="13"/>
  <c r="Z185" i="13" s="1"/>
  <c r="S173" i="13"/>
  <c r="Z173" i="13" s="1"/>
  <c r="S150" i="13"/>
  <c r="Z150" i="13" s="1"/>
  <c r="S137" i="13"/>
  <c r="Z137" i="13" s="1"/>
  <c r="S120" i="13"/>
  <c r="Z120" i="13" s="1"/>
  <c r="S92" i="13"/>
  <c r="S78" i="13"/>
  <c r="S60" i="13"/>
  <c r="S47" i="13"/>
  <c r="Z47" i="13" s="1"/>
  <c r="S230" i="13"/>
  <c r="Z230" i="13" s="1"/>
  <c r="S77" i="13"/>
  <c r="S46" i="13"/>
  <c r="S213" i="13"/>
  <c r="U213" i="13" s="1"/>
  <c r="S212" i="13"/>
  <c r="S196" i="13"/>
  <c r="Z196" i="13" s="1"/>
  <c r="S183" i="13"/>
  <c r="Z183" i="13" s="1"/>
  <c r="S148" i="13"/>
  <c r="Z148" i="13" s="1"/>
  <c r="S135" i="13"/>
  <c r="Z135" i="13" s="1"/>
  <c r="S118" i="13"/>
  <c r="Z118" i="13" s="1"/>
  <c r="S90" i="13"/>
  <c r="S76" i="13"/>
  <c r="S58" i="13"/>
  <c r="S45" i="13"/>
  <c r="Z45" i="13" s="1"/>
  <c r="S181" i="13"/>
  <c r="Z181" i="13" s="1"/>
  <c r="S146" i="13"/>
  <c r="Z146" i="13" s="1"/>
  <c r="S133" i="13"/>
  <c r="Z133" i="13" s="1"/>
  <c r="S87" i="13"/>
  <c r="Z87" i="13" s="1"/>
  <c r="S56" i="13"/>
  <c r="Z56" i="13" s="1"/>
  <c r="S211" i="13"/>
  <c r="T211" i="13" s="1"/>
  <c r="S194" i="13"/>
  <c r="Z194" i="13" s="1"/>
  <c r="S182" i="13"/>
  <c r="Z182" i="13" s="1"/>
  <c r="S165" i="13"/>
  <c r="X165" i="13" s="1"/>
  <c r="S147" i="13"/>
  <c r="Z147" i="13" s="1"/>
  <c r="S134" i="13"/>
  <c r="Z134" i="13" s="1"/>
  <c r="S117" i="13"/>
  <c r="Z117" i="13" s="1"/>
  <c r="S89" i="13"/>
  <c r="S74" i="13"/>
  <c r="S57" i="13"/>
  <c r="Z57" i="13" s="1"/>
  <c r="S44" i="13"/>
  <c r="Z44" i="13" s="1"/>
  <c r="S193" i="13"/>
  <c r="Z193" i="13" s="1"/>
  <c r="S164" i="13"/>
  <c r="S116" i="13"/>
  <c r="Z116" i="13" s="1"/>
  <c r="S73" i="13"/>
  <c r="Z73" i="13" s="1"/>
  <c r="S43" i="13"/>
  <c r="Z43" i="13" s="1"/>
  <c r="S210" i="13"/>
  <c r="S209" i="13"/>
  <c r="T209" i="13" s="1"/>
  <c r="Z209" i="13" s="1"/>
  <c r="S192" i="13"/>
  <c r="Z192" i="13" s="1"/>
  <c r="S180" i="13"/>
  <c r="Z180" i="13" s="1"/>
  <c r="S163" i="13"/>
  <c r="Z163" i="13" s="1"/>
  <c r="S145" i="13"/>
  <c r="S132" i="13"/>
  <c r="Z132" i="13" s="1"/>
  <c r="S86" i="13"/>
  <c r="S72" i="13"/>
  <c r="Z72" i="13" s="1"/>
  <c r="S54" i="13"/>
  <c r="T54" i="13" s="1"/>
  <c r="S42" i="13"/>
  <c r="S91" i="13"/>
  <c r="S208" i="13"/>
  <c r="Z208" i="13" s="1"/>
  <c r="S191" i="13"/>
  <c r="Z191" i="13" s="1"/>
  <c r="S179" i="13"/>
  <c r="Z179" i="13" s="1"/>
  <c r="S162" i="13"/>
  <c r="Z162" i="13" s="1"/>
  <c r="S144" i="13"/>
  <c r="S131" i="13"/>
  <c r="Z131" i="13" s="1"/>
  <c r="S105" i="13"/>
  <c r="Z105" i="13" s="1"/>
  <c r="S85" i="13"/>
  <c r="S71" i="13"/>
  <c r="Z71" i="13" s="1"/>
  <c r="S53" i="13"/>
  <c r="T53" i="13" s="1"/>
  <c r="S136" i="13"/>
  <c r="Z136" i="13" s="1"/>
  <c r="S206" i="13"/>
  <c r="T206" i="13" s="1"/>
  <c r="S190" i="13"/>
  <c r="Z190" i="13" s="1"/>
  <c r="S178" i="13"/>
  <c r="Z178" i="13" s="1"/>
  <c r="S161" i="13"/>
  <c r="Z161" i="13" s="1"/>
  <c r="S142" i="13"/>
  <c r="Z142" i="13" s="1"/>
  <c r="S129" i="13"/>
  <c r="Z129" i="13" s="1"/>
  <c r="S104" i="13"/>
  <c r="Z104" i="13" s="1"/>
  <c r="S84" i="13"/>
  <c r="S52" i="13"/>
  <c r="T52" i="13" s="1"/>
  <c r="S119" i="13"/>
  <c r="S59" i="13"/>
  <c r="Z59" i="13" s="1"/>
  <c r="S205" i="13"/>
  <c r="S189" i="13"/>
  <c r="Z189" i="13" s="1"/>
  <c r="S177" i="13"/>
  <c r="Z177" i="13" s="1"/>
  <c r="S160" i="13"/>
  <c r="Z160" i="13" s="1"/>
  <c r="S141" i="13"/>
  <c r="Z141" i="13" s="1"/>
  <c r="S128" i="13"/>
  <c r="Z128" i="13" s="1"/>
  <c r="S102" i="13"/>
  <c r="Z102" i="13" s="1"/>
  <c r="S83" i="13"/>
  <c r="Z83" i="13" s="1"/>
  <c r="S75" i="13"/>
  <c r="S51" i="13"/>
  <c r="S149" i="13"/>
  <c r="Z149" i="13" s="1"/>
  <c r="S203" i="13"/>
  <c r="S188" i="13"/>
  <c r="Z188" i="13" s="1"/>
  <c r="S176" i="13"/>
  <c r="Z176" i="13" s="1"/>
  <c r="S157" i="13"/>
  <c r="Z157" i="13" s="1"/>
  <c r="S140" i="13"/>
  <c r="Z140" i="13" s="1"/>
  <c r="S81" i="13"/>
  <c r="S64" i="13"/>
  <c r="Z64" i="13" s="1"/>
  <c r="S50" i="13"/>
  <c r="T50" i="13" s="1"/>
  <c r="S172" i="13"/>
  <c r="Z172" i="13" s="1"/>
  <c r="S202" i="13"/>
  <c r="S187" i="13"/>
  <c r="Z187" i="13" s="1"/>
  <c r="S175" i="13"/>
  <c r="Z175" i="13" s="1"/>
  <c r="S139" i="13"/>
  <c r="Z139" i="13" s="1"/>
  <c r="S122" i="13"/>
  <c r="Z122" i="13" s="1"/>
  <c r="S94" i="13"/>
  <c r="S80" i="13"/>
  <c r="S63" i="13"/>
  <c r="Z63" i="13" s="1"/>
  <c r="S49" i="13"/>
  <c r="S184" i="13"/>
  <c r="Z184" i="13" s="1"/>
  <c r="S186" i="13"/>
  <c r="Z186" i="13" s="1"/>
  <c r="S174" i="13"/>
  <c r="Z174" i="13" s="1"/>
  <c r="S151" i="13"/>
  <c r="Z151" i="13" s="1"/>
  <c r="S138" i="13"/>
  <c r="Z138" i="13" s="1"/>
  <c r="S121" i="13"/>
  <c r="Z121" i="13" s="1"/>
  <c r="S93" i="13"/>
  <c r="Z93" i="13" s="1"/>
  <c r="S79" i="13"/>
  <c r="Z79" i="13" s="1"/>
  <c r="S61" i="13"/>
  <c r="S48" i="13"/>
  <c r="S204" i="13"/>
  <c r="BB230" i="13"/>
  <c r="S13" i="13"/>
  <c r="Z13" i="13" s="1"/>
  <c r="S27" i="13"/>
  <c r="Z27" i="13" s="1"/>
  <c r="S14" i="13"/>
  <c r="Z14" i="13" s="1"/>
  <c r="S28" i="13"/>
  <c r="S15" i="13"/>
  <c r="Z15" i="13" s="1"/>
  <c r="S29" i="13"/>
  <c r="Z29" i="13" s="1"/>
  <c r="S16" i="13"/>
  <c r="Z16" i="13" s="1"/>
  <c r="S30" i="13"/>
  <c r="Z30" i="13" s="1"/>
  <c r="S26" i="13"/>
  <c r="Z26" i="13" s="1"/>
  <c r="S17" i="13"/>
  <c r="Z17" i="13" s="1"/>
  <c r="S31" i="13"/>
  <c r="S18" i="13"/>
  <c r="Z18" i="13" s="1"/>
  <c r="S32" i="13"/>
  <c r="S22" i="13"/>
  <c r="Z22" i="13" s="1"/>
  <c r="S19" i="13"/>
  <c r="Z19" i="13" s="1"/>
  <c r="S33" i="13"/>
  <c r="S12" i="13"/>
  <c r="Z12" i="13" s="1"/>
  <c r="S20" i="13"/>
  <c r="Z20" i="13" s="1"/>
  <c r="S34" i="13"/>
  <c r="Z34" i="13" s="1"/>
  <c r="S21" i="13"/>
  <c r="Z21" i="13" s="1"/>
  <c r="S35" i="13"/>
  <c r="Z35" i="13" s="1"/>
  <c r="S11" i="13"/>
  <c r="Z11" i="13" s="1"/>
  <c r="S25" i="13"/>
  <c r="Z25" i="13" s="1"/>
  <c r="BP296" i="13"/>
  <c r="AB40" i="11" s="1"/>
  <c r="BB240" i="13"/>
  <c r="BA240" i="13"/>
  <c r="AZ240" i="13"/>
  <c r="AX240" i="13"/>
  <c r="AY240" i="13"/>
  <c r="AX241" i="13"/>
  <c r="BB241" i="13"/>
  <c r="BA241" i="13"/>
  <c r="AZ241" i="13"/>
  <c r="AY241" i="13"/>
  <c r="S233" i="13"/>
  <c r="AY247" i="13"/>
  <c r="AX247" i="13"/>
  <c r="AZ247" i="13"/>
  <c r="BB246" i="13"/>
  <c r="S247" i="13"/>
  <c r="AA247" i="13" s="1"/>
  <c r="BA246" i="13"/>
  <c r="BB244" i="13"/>
  <c r="BA244" i="13"/>
  <c r="AZ244" i="13"/>
  <c r="BA247" i="13"/>
  <c r="AY244" i="13"/>
  <c r="AZ246" i="13"/>
  <c r="AY246" i="13"/>
  <c r="AX246" i="13"/>
  <c r="BB247" i="13"/>
  <c r="AX244" i="13"/>
  <c r="BA242" i="13"/>
  <c r="AY239" i="13"/>
  <c r="AZ242" i="13"/>
  <c r="AX239" i="13"/>
  <c r="AY242" i="13"/>
  <c r="BB238" i="13"/>
  <c r="AX242" i="13"/>
  <c r="BA238" i="13"/>
  <c r="AZ243" i="13"/>
  <c r="AZ239" i="13"/>
  <c r="AZ238" i="13"/>
  <c r="AY238" i="13"/>
  <c r="BB243" i="13"/>
  <c r="AX238" i="13"/>
  <c r="BA243" i="13"/>
  <c r="BB242" i="13"/>
  <c r="AY243" i="13"/>
  <c r="BB239" i="13"/>
  <c r="AX243" i="13"/>
  <c r="BA239" i="13"/>
  <c r="S216" i="13"/>
  <c r="AX237" i="13"/>
  <c r="BB237" i="13"/>
  <c r="S237" i="13"/>
  <c r="AA237" i="13" s="1"/>
  <c r="BA237" i="13"/>
  <c r="AZ237" i="13"/>
  <c r="AY237" i="13"/>
  <c r="H233" i="13"/>
  <c r="H112" i="13"/>
  <c r="H125" i="13"/>
  <c r="H154" i="13"/>
  <c r="H199" i="13"/>
  <c r="H99" i="13"/>
  <c r="H216" i="13"/>
  <c r="H68" i="13"/>
  <c r="H168" i="13"/>
  <c r="E199" i="13"/>
  <c r="S226" i="13" s="1"/>
  <c r="Z226" i="13" s="1"/>
  <c r="E154" i="13"/>
  <c r="S156" i="13" s="1"/>
  <c r="Z156" i="13" s="1"/>
  <c r="E112" i="13"/>
  <c r="S114" i="13" s="1"/>
  <c r="E233" i="13"/>
  <c r="S234" i="13" s="1"/>
  <c r="AA234" i="13" s="1"/>
  <c r="E168" i="13"/>
  <c r="S246" i="13" s="1"/>
  <c r="AA246" i="13" s="1"/>
  <c r="E68" i="13"/>
  <c r="S70" i="13" s="1"/>
  <c r="Z70" i="13" s="1"/>
  <c r="E216" i="13"/>
  <c r="E99" i="13"/>
  <c r="S101" i="13" s="1"/>
  <c r="Z101" i="13" s="1"/>
  <c r="E125" i="13"/>
  <c r="S127" i="13" s="1"/>
  <c r="Z127" i="13" s="1"/>
  <c r="F154" i="13"/>
  <c r="F233" i="13"/>
  <c r="F168" i="13"/>
  <c r="F125" i="13"/>
  <c r="F216" i="13"/>
  <c r="F99" i="13"/>
  <c r="F112" i="13"/>
  <c r="F199" i="13"/>
  <c r="F68" i="13"/>
  <c r="Q233" i="13"/>
  <c r="Q199" i="13"/>
  <c r="Q216" i="13"/>
  <c r="Q154" i="13"/>
  <c r="Q168" i="13"/>
  <c r="Q125" i="13"/>
  <c r="Q112" i="13"/>
  <c r="Q99" i="13"/>
  <c r="Q68" i="13"/>
  <c r="G68" i="13"/>
  <c r="G233" i="13"/>
  <c r="G199" i="13"/>
  <c r="G216" i="13"/>
  <c r="G154" i="13"/>
  <c r="G168" i="13"/>
  <c r="G125" i="13"/>
  <c r="S126" i="13" s="1"/>
  <c r="Z126" i="13" s="1"/>
  <c r="G112" i="13"/>
  <c r="G99" i="13"/>
  <c r="Q256" i="13"/>
  <c r="H256" i="13"/>
  <c r="G256" i="13"/>
  <c r="F256" i="13"/>
  <c r="AZ236" i="13"/>
  <c r="BB228" i="13"/>
  <c r="BB229" i="13"/>
  <c r="BB227" i="13"/>
  <c r="BB226" i="13"/>
  <c r="S228" i="13"/>
  <c r="Z228" i="13" s="1"/>
  <c r="S130" i="13"/>
  <c r="Z130" i="13" s="1"/>
  <c r="D79" i="16"/>
  <c r="AJ8" i="5"/>
  <c r="S9" i="13"/>
  <c r="S68" i="13"/>
  <c r="AZ235" i="13"/>
  <c r="S125" i="13"/>
  <c r="AX8" i="13"/>
  <c r="AX235" i="13"/>
  <c r="S199" i="13"/>
  <c r="BB235" i="13"/>
  <c r="AY235" i="13"/>
  <c r="S112" i="13"/>
  <c r="BB236" i="13"/>
  <c r="AY236" i="13"/>
  <c r="AX236" i="13"/>
  <c r="S168" i="13"/>
  <c r="S99" i="13"/>
  <c r="BC126" i="13"/>
  <c r="BA235" i="13"/>
  <c r="BC39" i="13"/>
  <c r="S154" i="13"/>
  <c r="S38" i="13"/>
  <c r="BA236" i="13"/>
  <c r="BB225" i="13"/>
  <c r="BX103" i="13"/>
  <c r="BW187" i="13"/>
  <c r="BW103" i="13"/>
  <c r="S10" i="13"/>
  <c r="Z10" i="13" s="1"/>
  <c r="S110" i="13"/>
  <c r="D49" i="16" s="1"/>
  <c r="BB219" i="13"/>
  <c r="BB223" i="13"/>
  <c r="BB217" i="13"/>
  <c r="BB204" i="13"/>
  <c r="BC204" i="13" s="1"/>
  <c r="S220" i="13"/>
  <c r="X220" i="13" s="1"/>
  <c r="Z220" i="13" s="1"/>
  <c r="BB222" i="13"/>
  <c r="BB211" i="13"/>
  <c r="BB200" i="13"/>
  <c r="BB221" i="13"/>
  <c r="BB220" i="13"/>
  <c r="BB208" i="13"/>
  <c r="BI121" i="13"/>
  <c r="BJ121" i="13" s="1"/>
  <c r="W112" i="5" s="1"/>
  <c r="V111" i="21" s="1"/>
  <c r="BB224" i="13"/>
  <c r="BB218" i="13"/>
  <c r="BB207" i="13"/>
  <c r="S214" i="13"/>
  <c r="D91" i="16" s="1"/>
  <c r="D88" i="16"/>
  <c r="BI100" i="13"/>
  <c r="BJ100" i="13" s="1"/>
  <c r="W94" i="5" s="1"/>
  <c r="D38" i="16"/>
  <c r="D32" i="16"/>
  <c r="D20" i="16"/>
  <c r="G38" i="13"/>
  <c r="S36" i="13"/>
  <c r="D14" i="16" s="1"/>
  <c r="S66" i="13"/>
  <c r="D26" i="16" s="1"/>
  <c r="S231" i="13"/>
  <c r="D107" i="16" s="1"/>
  <c r="S251" i="13"/>
  <c r="AA251" i="13" s="1"/>
  <c r="S218" i="13"/>
  <c r="Z218" i="13" s="1"/>
  <c r="F38" i="13"/>
  <c r="S224" i="13"/>
  <c r="Z224" i="13" s="1"/>
  <c r="S115" i="13"/>
  <c r="Z115" i="13" s="1"/>
  <c r="D47" i="16"/>
  <c r="S103" i="13"/>
  <c r="Z103" i="13" s="1"/>
  <c r="E38" i="13"/>
  <c r="S39" i="13" s="1"/>
  <c r="Z39" i="13" s="1"/>
  <c r="S197" i="13"/>
  <c r="D83" i="16" s="1"/>
  <c r="S69" i="13"/>
  <c r="Z69" i="13" s="1"/>
  <c r="S223" i="13"/>
  <c r="Z223" i="13" s="1"/>
  <c r="D25" i="16"/>
  <c r="S222" i="13"/>
  <c r="D45" i="16"/>
  <c r="S221" i="13"/>
  <c r="BW46" i="13"/>
  <c r="H38" i="13"/>
  <c r="BX121" i="13"/>
  <c r="D69" i="16"/>
  <c r="S171" i="13"/>
  <c r="Z171" i="13" s="1"/>
  <c r="Q38" i="13"/>
  <c r="T51" i="13" l="1"/>
  <c r="Z51" i="13" s="1"/>
  <c r="F148" i="5"/>
  <c r="AC148" i="5" s="1"/>
  <c r="AH254" i="13"/>
  <c r="BQ254" i="13" s="1"/>
  <c r="AI254" i="13"/>
  <c r="BR254" i="13" s="1"/>
  <c r="AJ254" i="13"/>
  <c r="BS254" i="13" s="1"/>
  <c r="F69" i="5"/>
  <c r="AC69" i="5" s="1"/>
  <c r="AJ252" i="13"/>
  <c r="BS252" i="13" s="1"/>
  <c r="AH252" i="13"/>
  <c r="BQ252" i="13" s="1"/>
  <c r="AI252" i="13"/>
  <c r="BR252" i="13" s="1"/>
  <c r="D210" i="21"/>
  <c r="V94" i="21"/>
  <c r="V95" i="21"/>
  <c r="T145" i="13"/>
  <c r="AA207" i="21"/>
  <c r="Z49" i="13"/>
  <c r="AA49" i="13" s="1"/>
  <c r="T48" i="13"/>
  <c r="U212" i="13"/>
  <c r="T212" i="13"/>
  <c r="T213" i="13" s="1"/>
  <c r="Z211" i="13"/>
  <c r="AI234" i="13"/>
  <c r="AH234" i="13"/>
  <c r="AJ234" i="13"/>
  <c r="BI234" i="13" s="1"/>
  <c r="AI247" i="13"/>
  <c r="AH247" i="13"/>
  <c r="AJ247" i="13"/>
  <c r="AH248" i="13"/>
  <c r="AJ248" i="13"/>
  <c r="AI248" i="13"/>
  <c r="AH245" i="13"/>
  <c r="AJ245" i="13"/>
  <c r="AI245" i="13"/>
  <c r="AH237" i="13"/>
  <c r="AJ237" i="13"/>
  <c r="AI237" i="13"/>
  <c r="AJ246" i="13"/>
  <c r="AI246" i="13"/>
  <c r="AH246" i="13"/>
  <c r="AI251" i="13"/>
  <c r="BF251" i="13" s="1"/>
  <c r="AH251" i="13"/>
  <c r="AJ251" i="13"/>
  <c r="BI251" i="13" s="1"/>
  <c r="AH250" i="13"/>
  <c r="BQ250" i="13" s="1"/>
  <c r="AJ250" i="13"/>
  <c r="AI250" i="13"/>
  <c r="T210" i="13"/>
  <c r="Z210" i="13" s="1"/>
  <c r="T80" i="13"/>
  <c r="T81" i="13" s="1"/>
  <c r="F152" i="5"/>
  <c r="E152" i="21" s="1"/>
  <c r="X77" i="13"/>
  <c r="D7" i="16"/>
  <c r="X31" i="13"/>
  <c r="Z31" i="13" s="1"/>
  <c r="AA31" i="13" s="1"/>
  <c r="X58" i="13"/>
  <c r="Z58" i="13" s="1"/>
  <c r="AA58" i="13" s="1"/>
  <c r="X221" i="13"/>
  <c r="Z221" i="13" s="1"/>
  <c r="AA221" i="13" s="1"/>
  <c r="X76" i="13"/>
  <c r="Z76" i="13" s="1"/>
  <c r="AA76" i="13" s="1"/>
  <c r="X61" i="13"/>
  <c r="Z61" i="13" s="1"/>
  <c r="AA61" i="13" s="1"/>
  <c r="X94" i="13"/>
  <c r="X206" i="13"/>
  <c r="Z206" i="13" s="1"/>
  <c r="T91" i="13"/>
  <c r="X91" i="13"/>
  <c r="X60" i="13"/>
  <c r="Z60" i="13" s="1"/>
  <c r="AA60" i="13" s="1"/>
  <c r="D101" i="16"/>
  <c r="AA224" i="13"/>
  <c r="AI224" i="13" s="1"/>
  <c r="D97" i="16"/>
  <c r="X114" i="13"/>
  <c r="X205" i="13"/>
  <c r="X42" i="13"/>
  <c r="Z42" i="13" s="1"/>
  <c r="AA42" i="13" s="1"/>
  <c r="X78" i="13"/>
  <c r="Z78" i="13" s="1"/>
  <c r="AA78" i="13" s="1"/>
  <c r="T203" i="13"/>
  <c r="X203" i="13"/>
  <c r="X53" i="13"/>
  <c r="Z53" i="13" s="1"/>
  <c r="AA53" i="13" s="1"/>
  <c r="X54" i="13"/>
  <c r="Z54" i="13" s="1"/>
  <c r="AA54" i="13" s="1"/>
  <c r="T92" i="13"/>
  <c r="X92" i="13"/>
  <c r="D95" i="16"/>
  <c r="X33" i="13"/>
  <c r="Z33" i="13" s="1"/>
  <c r="AA33" i="13" s="1"/>
  <c r="X28" i="13"/>
  <c r="Z28" i="13" s="1"/>
  <c r="AA28" i="13" s="1"/>
  <c r="X119" i="13"/>
  <c r="Z119" i="13" s="1"/>
  <c r="AA119" i="13" s="1"/>
  <c r="D17" i="16"/>
  <c r="D100" i="16"/>
  <c r="X52" i="13"/>
  <c r="Z52" i="13" s="1"/>
  <c r="AA52" i="13" s="1"/>
  <c r="X85" i="13"/>
  <c r="Z85" i="13" s="1"/>
  <c r="AA85" i="13" s="1"/>
  <c r="D99" i="16"/>
  <c r="X222" i="13"/>
  <c r="Z222" i="13" s="1"/>
  <c r="AA222" i="13" s="1"/>
  <c r="AJ222" i="13" s="1"/>
  <c r="T202" i="13"/>
  <c r="X202" i="13"/>
  <c r="X84" i="13"/>
  <c r="D59" i="16"/>
  <c r="X32" i="13"/>
  <c r="Z32" i="13" s="1"/>
  <c r="AA32" i="13" s="1"/>
  <c r="X212" i="13"/>
  <c r="Z212" i="13" s="1"/>
  <c r="D29" i="16"/>
  <c r="X50" i="13"/>
  <c r="Z50" i="13" s="1"/>
  <c r="AA50" i="13" s="1"/>
  <c r="X74" i="13"/>
  <c r="Z74" i="13" s="1"/>
  <c r="AA74" i="13" s="1"/>
  <c r="X213" i="13"/>
  <c r="AA184" i="13"/>
  <c r="AA64" i="13"/>
  <c r="AA142" i="13"/>
  <c r="AA181" i="13"/>
  <c r="AA195" i="13"/>
  <c r="AA163" i="13"/>
  <c r="AA161" i="13"/>
  <c r="AA40" i="13"/>
  <c r="AA190" i="13"/>
  <c r="AA147" i="13"/>
  <c r="AA47" i="13"/>
  <c r="AA146" i="13"/>
  <c r="AA70" i="13"/>
  <c r="AA140" i="13"/>
  <c r="F131" i="5" s="1"/>
  <c r="AA23" i="13"/>
  <c r="AA102" i="13"/>
  <c r="AA191" i="13"/>
  <c r="AA122" i="13"/>
  <c r="AA188" i="13"/>
  <c r="AA136" i="13"/>
  <c r="AA73" i="13"/>
  <c r="AA182" i="13"/>
  <c r="AA118" i="13"/>
  <c r="AA156" i="13"/>
  <c r="AA116" i="13"/>
  <c r="AA194" i="13"/>
  <c r="AA149" i="13"/>
  <c r="AA71" i="13"/>
  <c r="AA72" i="13"/>
  <c r="AA193" i="13"/>
  <c r="AA143" i="13"/>
  <c r="AA151" i="13"/>
  <c r="AA105" i="13"/>
  <c r="AA132" i="13"/>
  <c r="AA87" i="13"/>
  <c r="AA150" i="13"/>
  <c r="F142" i="5" s="1"/>
  <c r="E142" i="21" s="1"/>
  <c r="AA174" i="13"/>
  <c r="AA131" i="13"/>
  <c r="AA57" i="13"/>
  <c r="AA133" i="13"/>
  <c r="F254" i="5"/>
  <c r="F164" i="5"/>
  <c r="T165" i="13"/>
  <c r="F39" i="5"/>
  <c r="S113" i="13"/>
  <c r="Z113" i="13" s="1"/>
  <c r="AA88" i="13"/>
  <c r="T89" i="13"/>
  <c r="AA209" i="13"/>
  <c r="D90" i="16"/>
  <c r="AA24" i="13"/>
  <c r="D21" i="16"/>
  <c r="D24" i="16"/>
  <c r="S170" i="13"/>
  <c r="Z170" i="13" s="1"/>
  <c r="S41" i="13"/>
  <c r="Z41" i="13" s="1"/>
  <c r="S201" i="13"/>
  <c r="F195" i="5"/>
  <c r="D89" i="16"/>
  <c r="S200" i="13"/>
  <c r="Z200" i="13" s="1"/>
  <c r="D9" i="16"/>
  <c r="D61" i="16"/>
  <c r="D22" i="16"/>
  <c r="AA15" i="13"/>
  <c r="BC83" i="13"/>
  <c r="BD83" i="13" s="1"/>
  <c r="I79" i="5" s="1"/>
  <c r="BF83" i="13"/>
  <c r="BG83" i="13" s="1"/>
  <c r="P79" i="5" s="1"/>
  <c r="BI83" i="13"/>
  <c r="BJ83" i="13" s="1"/>
  <c r="W79" i="5" s="1"/>
  <c r="BF86" i="13"/>
  <c r="BG86" i="13" s="1"/>
  <c r="P82" i="5" s="1"/>
  <c r="BI86" i="13"/>
  <c r="BJ86" i="13" s="1"/>
  <c r="W82" i="5" s="1"/>
  <c r="BC86" i="13"/>
  <c r="BD86" i="13" s="1"/>
  <c r="I82" i="5" s="1"/>
  <c r="D44" i="16"/>
  <c r="BF103" i="13"/>
  <c r="BG103" i="13" s="1"/>
  <c r="P97" i="5" s="1"/>
  <c r="BI103" i="13"/>
  <c r="BJ103" i="13" s="1"/>
  <c r="W97" i="5" s="1"/>
  <c r="BC103" i="13"/>
  <c r="BD103" i="13" s="1"/>
  <c r="I97" i="5" s="1"/>
  <c r="BF95" i="13"/>
  <c r="BG95" i="13" s="1"/>
  <c r="BI95" i="13"/>
  <c r="BJ95" i="13" s="1"/>
  <c r="BC95" i="13"/>
  <c r="BD95" i="13" s="1"/>
  <c r="BF55" i="13"/>
  <c r="BG55" i="13" s="1"/>
  <c r="BI55" i="13"/>
  <c r="BJ55" i="13" s="1"/>
  <c r="BC55" i="13"/>
  <c r="BD55" i="13" s="1"/>
  <c r="BF117" i="13"/>
  <c r="BG117" i="13" s="1"/>
  <c r="P108" i="5" s="1"/>
  <c r="O108" i="21" s="1"/>
  <c r="BI117" i="13"/>
  <c r="BJ117" i="13" s="1"/>
  <c r="W108" i="5" s="1"/>
  <c r="V108" i="21" s="1"/>
  <c r="BC117" i="13"/>
  <c r="BD117" i="13" s="1"/>
  <c r="I108" i="5" s="1"/>
  <c r="H108" i="21" s="1"/>
  <c r="BF138" i="13"/>
  <c r="BG138" i="13" s="1"/>
  <c r="P129" i="5" s="1"/>
  <c r="BC138" i="13"/>
  <c r="BD138" i="13" s="1"/>
  <c r="I129" i="5" s="1"/>
  <c r="BI138" i="13"/>
  <c r="BJ138" i="13" s="1"/>
  <c r="W129" i="5" s="1"/>
  <c r="AA25" i="13"/>
  <c r="AA177" i="13"/>
  <c r="AA44" i="13"/>
  <c r="BC82" i="13"/>
  <c r="BD82" i="13" s="1"/>
  <c r="BF82" i="13"/>
  <c r="BG82" i="13" s="1"/>
  <c r="BI82" i="13"/>
  <c r="BJ82" i="13" s="1"/>
  <c r="D76" i="16"/>
  <c r="D53" i="16"/>
  <c r="BI160" i="13"/>
  <c r="BJ160" i="13" s="1"/>
  <c r="W153" i="5" s="1"/>
  <c r="V153" i="21" s="1"/>
  <c r="BF160" i="13"/>
  <c r="BG160" i="13" s="1"/>
  <c r="P153" i="5" s="1"/>
  <c r="O153" i="21" s="1"/>
  <c r="BC160" i="13"/>
  <c r="BD160" i="13" s="1"/>
  <c r="BF179" i="13"/>
  <c r="BG179" i="13" s="1"/>
  <c r="P172" i="5" s="1"/>
  <c r="BI179" i="13"/>
  <c r="BJ179" i="13" s="1"/>
  <c r="W172" i="5" s="1"/>
  <c r="BC179" i="13"/>
  <c r="BD179" i="13" s="1"/>
  <c r="I172" i="5" s="1"/>
  <c r="AA11" i="13"/>
  <c r="AA17" i="13"/>
  <c r="BI230" i="13"/>
  <c r="BJ230" i="13" s="1"/>
  <c r="W223" i="5" s="1"/>
  <c r="V223" i="21" s="1"/>
  <c r="BC230" i="13"/>
  <c r="BD230" i="13" s="1"/>
  <c r="I223" i="5" s="1"/>
  <c r="H223" i="21" s="1"/>
  <c r="BF230" i="13"/>
  <c r="BG230" i="13" s="1"/>
  <c r="P223" i="5" s="1"/>
  <c r="O223" i="21" s="1"/>
  <c r="AA157" i="13"/>
  <c r="D13" i="16"/>
  <c r="AA35" i="13"/>
  <c r="D10" i="16"/>
  <c r="AA172" i="13"/>
  <c r="AA120" i="13"/>
  <c r="AA128" i="13"/>
  <c r="AA180" i="13"/>
  <c r="F98" i="5"/>
  <c r="AA135" i="13"/>
  <c r="AA45" i="13"/>
  <c r="BF208" i="13"/>
  <c r="BG208" i="13" s="1"/>
  <c r="P201" i="5" s="1"/>
  <c r="O202" i="21" s="1"/>
  <c r="BC208" i="13"/>
  <c r="BD208" i="13" s="1"/>
  <c r="I201" i="5" s="1"/>
  <c r="H202" i="21" s="1"/>
  <c r="BI208" i="13"/>
  <c r="BJ208" i="13" s="1"/>
  <c r="W201" i="5" s="1"/>
  <c r="V202" i="21" s="1"/>
  <c r="AA21" i="13"/>
  <c r="AA186" i="13"/>
  <c r="AA176" i="13"/>
  <c r="BF183" i="13"/>
  <c r="BG183" i="13" s="1"/>
  <c r="P176" i="5" s="1"/>
  <c r="BI183" i="13"/>
  <c r="BJ183" i="13" s="1"/>
  <c r="W176" i="5" s="1"/>
  <c r="BC183" i="13"/>
  <c r="BD183" i="13" s="1"/>
  <c r="I176" i="5" s="1"/>
  <c r="AA230" i="13"/>
  <c r="AJ230" i="13" s="1"/>
  <c r="AA137" i="13"/>
  <c r="AA43" i="13"/>
  <c r="AA158" i="13"/>
  <c r="BC207" i="13"/>
  <c r="BD207" i="13" s="1"/>
  <c r="BF207" i="13"/>
  <c r="BG207" i="13" s="1"/>
  <c r="BI207" i="13"/>
  <c r="BJ207" i="13" s="1"/>
  <c r="BI16" i="13"/>
  <c r="BJ16" i="13" s="1"/>
  <c r="W17" i="5" s="1"/>
  <c r="V17" i="21" s="1"/>
  <c r="BF16" i="13"/>
  <c r="BG16" i="13" s="1"/>
  <c r="P17" i="5" s="1"/>
  <c r="O17" i="21" s="1"/>
  <c r="BC16" i="13"/>
  <c r="BD16" i="13" s="1"/>
  <c r="I17" i="5" s="1"/>
  <c r="H17" i="21" s="1"/>
  <c r="BI79" i="13"/>
  <c r="BJ79" i="13" s="1"/>
  <c r="W76" i="5" s="1"/>
  <c r="V77" i="21" s="1"/>
  <c r="BC79" i="13"/>
  <c r="BD79" i="13" s="1"/>
  <c r="I76" i="5" s="1"/>
  <c r="BF79" i="13"/>
  <c r="BG79" i="13" s="1"/>
  <c r="P76" i="5" s="1"/>
  <c r="BF63" i="13"/>
  <c r="BG63" i="13" s="1"/>
  <c r="P60" i="5" s="1"/>
  <c r="O60" i="21" s="1"/>
  <c r="BC63" i="13"/>
  <c r="BD63" i="13" s="1"/>
  <c r="BI63" i="13"/>
  <c r="BJ63" i="13" s="1"/>
  <c r="W60" i="5" s="1"/>
  <c r="V60" i="21" s="1"/>
  <c r="BC19" i="13"/>
  <c r="BD19" i="13" s="1"/>
  <c r="BF19" i="13"/>
  <c r="BG19" i="13" s="1"/>
  <c r="P20" i="5" s="1"/>
  <c r="O20" i="21" s="1"/>
  <c r="BI19" i="13"/>
  <c r="BJ19" i="13" s="1"/>
  <c r="W20" i="5" s="1"/>
  <c r="BF134" i="13"/>
  <c r="BG134" i="13" s="1"/>
  <c r="P125" i="5" s="1"/>
  <c r="BI134" i="13"/>
  <c r="BJ134" i="13" s="1"/>
  <c r="W125" i="5" s="1"/>
  <c r="BC134" i="13"/>
  <c r="BD134" i="13" s="1"/>
  <c r="I125" i="5" s="1"/>
  <c r="AA14" i="13"/>
  <c r="BI122" i="13"/>
  <c r="BJ122" i="13" s="1"/>
  <c r="W113" i="5" s="1"/>
  <c r="BC122" i="13"/>
  <c r="BD122" i="13" s="1"/>
  <c r="I113" i="5" s="1"/>
  <c r="BF122" i="13"/>
  <c r="BG122" i="13" s="1"/>
  <c r="P113" i="5" s="1"/>
  <c r="AA173" i="13"/>
  <c r="AA185" i="13"/>
  <c r="AA141" i="13"/>
  <c r="D11" i="16"/>
  <c r="D12" i="16"/>
  <c r="AA12" i="13"/>
  <c r="BF30" i="13"/>
  <c r="BG30" i="13" s="1"/>
  <c r="P31" i="5" s="1"/>
  <c r="O31" i="21" s="1"/>
  <c r="BI30" i="13"/>
  <c r="BJ30" i="13" s="1"/>
  <c r="W31" i="5" s="1"/>
  <c r="V31" i="21" s="1"/>
  <c r="BC30" i="13"/>
  <c r="BD30" i="13" s="1"/>
  <c r="BF175" i="13"/>
  <c r="BG175" i="13" s="1"/>
  <c r="P169" i="5" s="1"/>
  <c r="BI175" i="13"/>
  <c r="BJ175" i="13" s="1"/>
  <c r="W169" i="5" s="1"/>
  <c r="BC175" i="13"/>
  <c r="BD175" i="13" s="1"/>
  <c r="I169" i="5" s="1"/>
  <c r="BF59" i="13"/>
  <c r="BG59" i="13" s="1"/>
  <c r="P57" i="5" s="1"/>
  <c r="O57" i="21" s="1"/>
  <c r="BC59" i="13"/>
  <c r="BD59" i="13" s="1"/>
  <c r="BI59" i="13"/>
  <c r="BJ59" i="13" s="1"/>
  <c r="W57" i="5" s="1"/>
  <c r="V57" i="21" s="1"/>
  <c r="BF90" i="13"/>
  <c r="BG90" i="13" s="1"/>
  <c r="P86" i="5" s="1"/>
  <c r="O86" i="21" s="1"/>
  <c r="BI90" i="13"/>
  <c r="BJ90" i="13" s="1"/>
  <c r="W86" i="5" s="1"/>
  <c r="V86" i="21" s="1"/>
  <c r="BC90" i="13"/>
  <c r="BD90" i="13" s="1"/>
  <c r="I86" i="5" s="1"/>
  <c r="H86" i="21" s="1"/>
  <c r="BC56" i="13"/>
  <c r="BD56" i="13" s="1"/>
  <c r="I54" i="5" s="1"/>
  <c r="H54" i="21" s="1"/>
  <c r="BF56" i="13"/>
  <c r="BG56" i="13" s="1"/>
  <c r="P54" i="5" s="1"/>
  <c r="O54" i="21" s="1"/>
  <c r="BI56" i="13"/>
  <c r="BJ56" i="13" s="1"/>
  <c r="W54" i="5" s="1"/>
  <c r="V54" i="21" s="1"/>
  <c r="BC35" i="13"/>
  <c r="BD35" i="13" s="1"/>
  <c r="BF35" i="13"/>
  <c r="BG35" i="13" s="1"/>
  <c r="BI35" i="13"/>
  <c r="BJ35" i="13" s="1"/>
  <c r="BI189" i="13"/>
  <c r="BJ189" i="13" s="1"/>
  <c r="W182" i="5" s="1"/>
  <c r="BC189" i="13"/>
  <c r="BD189" i="13" s="1"/>
  <c r="I182" i="5" s="1"/>
  <c r="BF189" i="13"/>
  <c r="BG189" i="13" s="1"/>
  <c r="P182" i="5" s="1"/>
  <c r="AA22" i="13"/>
  <c r="AA27" i="13"/>
  <c r="BI148" i="13"/>
  <c r="BJ148" i="13" s="1"/>
  <c r="W140" i="5" s="1"/>
  <c r="BF148" i="13"/>
  <c r="BG148" i="13" s="1"/>
  <c r="P140" i="5" s="1"/>
  <c r="BC148" i="13"/>
  <c r="BD148" i="13" s="1"/>
  <c r="AA101" i="13"/>
  <c r="BF62" i="13"/>
  <c r="BG62" i="13" s="1"/>
  <c r="BI62" i="13"/>
  <c r="BJ62" i="13" s="1"/>
  <c r="BC62" i="13"/>
  <c r="BD62" i="13" s="1"/>
  <c r="AA29" i="13"/>
  <c r="AA13" i="13"/>
  <c r="BI165" i="13"/>
  <c r="BJ165" i="13" s="1"/>
  <c r="W158" i="5" s="1"/>
  <c r="V158" i="21" s="1"/>
  <c r="BC165" i="13"/>
  <c r="BD165" i="13" s="1"/>
  <c r="I158" i="5" s="1"/>
  <c r="H158" i="21" s="1"/>
  <c r="BF165" i="13"/>
  <c r="BG165" i="13" s="1"/>
  <c r="P158" i="5" s="1"/>
  <c r="O158" i="21" s="1"/>
  <c r="AA129" i="13"/>
  <c r="BF51" i="13"/>
  <c r="BG51" i="13" s="1"/>
  <c r="P50" i="5" s="1"/>
  <c r="O50" i="21" s="1"/>
  <c r="BC51" i="13"/>
  <c r="BD51" i="13" s="1"/>
  <c r="BI51" i="13"/>
  <c r="BJ51" i="13" s="1"/>
  <c r="W50" i="5" s="1"/>
  <c r="V50" i="21" s="1"/>
  <c r="BF144" i="13"/>
  <c r="BG144" i="13" s="1"/>
  <c r="P135" i="5" s="1"/>
  <c r="BI144" i="13"/>
  <c r="BJ144" i="13" s="1"/>
  <c r="W135" i="5" s="1"/>
  <c r="BC144" i="13"/>
  <c r="BD144" i="13" s="1"/>
  <c r="I135" i="5" s="1"/>
  <c r="BF34" i="13"/>
  <c r="BG34" i="13" s="1"/>
  <c r="BI34" i="13"/>
  <c r="BJ34" i="13" s="1"/>
  <c r="BC34" i="13"/>
  <c r="BD34" i="13" s="1"/>
  <c r="AA20" i="13"/>
  <c r="BC93" i="13"/>
  <c r="BD93" i="13" s="1"/>
  <c r="I89" i="5" s="1"/>
  <c r="BF93" i="13"/>
  <c r="BG93" i="13" s="1"/>
  <c r="P89" i="5" s="1"/>
  <c r="BI93" i="13"/>
  <c r="BJ93" i="13" s="1"/>
  <c r="W89" i="5" s="1"/>
  <c r="AA18" i="13"/>
  <c r="AA139" i="13"/>
  <c r="AA127" i="13"/>
  <c r="AA196" i="13"/>
  <c r="AA178" i="13"/>
  <c r="BD204" i="13"/>
  <c r="I198" i="5" s="1"/>
  <c r="H199" i="21" s="1"/>
  <c r="BD126" i="13"/>
  <c r="I117" i="5" s="1"/>
  <c r="BD39" i="13"/>
  <c r="I38" i="5" s="1"/>
  <c r="H38" i="21" s="1"/>
  <c r="F256" i="5"/>
  <c r="AC256" i="5" s="1"/>
  <c r="F183" i="5"/>
  <c r="E183" i="21" s="1"/>
  <c r="F257" i="5"/>
  <c r="F186" i="5"/>
  <c r="E186" i="21" s="1"/>
  <c r="F243" i="5"/>
  <c r="F118" i="5"/>
  <c r="S229" i="13"/>
  <c r="Z229" i="13" s="1"/>
  <c r="S227" i="13"/>
  <c r="Z227" i="13" s="1"/>
  <c r="S225" i="13"/>
  <c r="Z225" i="13" s="1"/>
  <c r="S242" i="13"/>
  <c r="AA242" i="13" s="1"/>
  <c r="S238" i="13"/>
  <c r="AA238" i="13" s="1"/>
  <c r="D63" i="16"/>
  <c r="S244" i="13"/>
  <c r="AA244" i="13" s="1"/>
  <c r="S243" i="13"/>
  <c r="AA243" i="13" s="1"/>
  <c r="S241" i="13"/>
  <c r="AA241" i="13" s="1"/>
  <c r="S239" i="13"/>
  <c r="AA239" i="13" s="1"/>
  <c r="D80" i="16"/>
  <c r="S236" i="13"/>
  <c r="AA236" i="13" s="1"/>
  <c r="S240" i="13"/>
  <c r="AA240" i="13" s="1"/>
  <c r="S235" i="13"/>
  <c r="S100" i="13"/>
  <c r="Z100" i="13" s="1"/>
  <c r="S152" i="13"/>
  <c r="D65" i="16" s="1"/>
  <c r="D62" i="16"/>
  <c r="AA228" i="13"/>
  <c r="AH228" i="13" s="1"/>
  <c r="D105" i="16"/>
  <c r="F105" i="16" s="1"/>
  <c r="AA226" i="13"/>
  <c r="AH226" i="13" s="1"/>
  <c r="D103" i="16"/>
  <c r="F103" i="16" s="1"/>
  <c r="D77" i="16"/>
  <c r="D82" i="16"/>
  <c r="D81" i="16"/>
  <c r="D60" i="16"/>
  <c r="D64" i="16"/>
  <c r="BI130" i="13"/>
  <c r="BJ130" i="13" s="1"/>
  <c r="W121" i="5" s="1"/>
  <c r="BF130" i="13"/>
  <c r="BG130" i="13" s="1"/>
  <c r="P121" i="5" s="1"/>
  <c r="BC130" i="13"/>
  <c r="BC192" i="13"/>
  <c r="BF192" i="13"/>
  <c r="BG192" i="13" s="1"/>
  <c r="P185" i="5" s="1"/>
  <c r="O185" i="21" s="1"/>
  <c r="BI192" i="13"/>
  <c r="BJ192" i="13" s="1"/>
  <c r="W185" i="5" s="1"/>
  <c r="V185" i="21" s="1"/>
  <c r="BX108" i="13"/>
  <c r="S219" i="13"/>
  <c r="S169" i="13"/>
  <c r="Z169" i="13" s="1"/>
  <c r="S217" i="13"/>
  <c r="Z217" i="13" s="1"/>
  <c r="S155" i="13"/>
  <c r="Z155" i="13" s="1"/>
  <c r="BF39" i="13"/>
  <c r="BG39" i="13" s="1"/>
  <c r="P38" i="5" s="1"/>
  <c r="O38" i="21" s="1"/>
  <c r="AR72" i="5"/>
  <c r="AR38" i="5"/>
  <c r="BX5" i="13"/>
  <c r="AS72" i="5"/>
  <c r="AV38" i="5"/>
  <c r="AW72" i="5"/>
  <c r="AW38" i="5"/>
  <c r="AT72" i="5"/>
  <c r="AX72" i="5"/>
  <c r="AT38" i="5"/>
  <c r="AU72" i="5"/>
  <c r="AU38" i="5"/>
  <c r="AS38" i="5"/>
  <c r="AX38" i="5"/>
  <c r="AV72" i="5"/>
  <c r="BI39" i="13"/>
  <c r="BJ39" i="13" s="1"/>
  <c r="W38" i="5" s="1"/>
  <c r="V38" i="21" s="1"/>
  <c r="BW121" i="13"/>
  <c r="BZ121" i="13" s="1"/>
  <c r="BX187" i="13"/>
  <c r="BW62" i="13"/>
  <c r="BY62" i="13" s="1"/>
  <c r="BX90" i="13"/>
  <c r="BW159" i="13"/>
  <c r="BY159" i="13" s="1"/>
  <c r="BX159" i="13"/>
  <c r="BW109" i="13"/>
  <c r="BY109" i="13" s="1"/>
  <c r="BX109" i="13"/>
  <c r="BW108" i="13"/>
  <c r="BZ108" i="13" s="1"/>
  <c r="BX62" i="13"/>
  <c r="BW90" i="13"/>
  <c r="CB90" i="13" s="1"/>
  <c r="BW83" i="13"/>
  <c r="CB83" i="13" s="1"/>
  <c r="BW208" i="13"/>
  <c r="CB208" i="13" s="1"/>
  <c r="BX79" i="13"/>
  <c r="BW160" i="13"/>
  <c r="BZ160" i="13" s="1"/>
  <c r="BX164" i="13"/>
  <c r="BX208" i="13"/>
  <c r="BW164" i="13"/>
  <c r="CB164" i="13" s="1"/>
  <c r="BW95" i="13"/>
  <c r="BY95" i="13" s="1"/>
  <c r="BX138" i="13"/>
  <c r="BW115" i="13"/>
  <c r="CB115" i="13" s="1"/>
  <c r="BW55" i="13"/>
  <c r="BY55" i="13" s="1"/>
  <c r="CF55" i="13" s="1"/>
  <c r="BX115" i="13"/>
  <c r="BX86" i="13"/>
  <c r="BW211" i="13"/>
  <c r="BY211" i="13" s="1"/>
  <c r="CF211" i="13" s="1"/>
  <c r="BX55" i="13"/>
  <c r="BW86" i="13"/>
  <c r="BY86" i="13" s="1"/>
  <c r="BX160" i="13"/>
  <c r="BX83" i="13"/>
  <c r="BX95" i="13"/>
  <c r="BW138" i="13"/>
  <c r="BY138" i="13" s="1"/>
  <c r="CF138" i="13" s="1"/>
  <c r="BW79" i="13"/>
  <c r="BY79" i="13" s="1"/>
  <c r="BX211" i="13"/>
  <c r="BW207" i="13"/>
  <c r="BY207" i="13" s="1"/>
  <c r="BW93" i="13"/>
  <c r="CB93" i="13" s="1"/>
  <c r="BW51" i="13"/>
  <c r="BY51" i="13" s="1"/>
  <c r="CF51" i="13" s="1"/>
  <c r="BW200" i="13"/>
  <c r="CB200" i="13" s="1"/>
  <c r="BW113" i="13"/>
  <c r="BY113" i="13" s="1"/>
  <c r="BW155" i="13"/>
  <c r="BY155" i="13" s="1"/>
  <c r="BX56" i="13"/>
  <c r="BX93" i="13"/>
  <c r="BX207" i="13"/>
  <c r="BX26" i="13"/>
  <c r="BX82" i="13"/>
  <c r="BW100" i="13"/>
  <c r="BZ100" i="13" s="1"/>
  <c r="BW134" i="13"/>
  <c r="BY134" i="13" s="1"/>
  <c r="BX96" i="13"/>
  <c r="BX236" i="13"/>
  <c r="BX68" i="13"/>
  <c r="BX179" i="13"/>
  <c r="BW10" i="13"/>
  <c r="BY10" i="13" s="1"/>
  <c r="BX65" i="13"/>
  <c r="BX63" i="13"/>
  <c r="BW204" i="13"/>
  <c r="BY204" i="13" s="1"/>
  <c r="CF204" i="13" s="1"/>
  <c r="BW169" i="13"/>
  <c r="BZ169" i="13" s="1"/>
  <c r="BW82" i="13"/>
  <c r="BY82" i="13" s="1"/>
  <c r="BW96" i="13"/>
  <c r="BY96" i="13" s="1"/>
  <c r="BX75" i="13"/>
  <c r="BX51" i="13"/>
  <c r="BX39" i="13"/>
  <c r="BX38" i="13"/>
  <c r="BW117" i="13"/>
  <c r="BY117" i="13" s="1"/>
  <c r="CF117" i="13" s="1"/>
  <c r="BW63" i="13"/>
  <c r="BZ63" i="13" s="1"/>
  <c r="BW75" i="13"/>
  <c r="BY75" i="13" s="1"/>
  <c r="CF75" i="13" s="1"/>
  <c r="BW69" i="13"/>
  <c r="BZ69" i="13" s="1"/>
  <c r="BX59" i="13"/>
  <c r="BX199" i="13"/>
  <c r="BX30" i="13"/>
  <c r="BX126" i="13"/>
  <c r="BX204" i="13"/>
  <c r="BX16" i="13"/>
  <c r="BX19" i="13"/>
  <c r="BW106" i="13"/>
  <c r="BY106" i="13" s="1"/>
  <c r="BW65" i="13"/>
  <c r="CB65" i="13" s="1"/>
  <c r="BW126" i="13"/>
  <c r="BY126" i="13" s="1"/>
  <c r="BW56" i="13"/>
  <c r="BY56" i="13" s="1"/>
  <c r="BX251" i="13"/>
  <c r="BX235" i="13"/>
  <c r="BX112" i="13"/>
  <c r="BX171" i="13"/>
  <c r="BW39" i="13"/>
  <c r="BY39" i="13" s="1"/>
  <c r="CF39" i="13" s="1"/>
  <c r="BW16" i="13"/>
  <c r="BY16" i="13" s="1"/>
  <c r="BW171" i="13"/>
  <c r="CB171" i="13" s="1"/>
  <c r="BW59" i="13"/>
  <c r="BY59" i="13" s="1"/>
  <c r="BW30" i="13"/>
  <c r="BY30" i="13" s="1"/>
  <c r="BX69" i="13"/>
  <c r="BX183" i="13"/>
  <c r="BX117" i="13"/>
  <c r="BX100" i="13"/>
  <c r="BX155" i="13"/>
  <c r="BX200" i="13"/>
  <c r="BX10" i="13"/>
  <c r="BX107" i="13"/>
  <c r="BX125" i="13"/>
  <c r="BX169" i="13"/>
  <c r="BW107" i="13"/>
  <c r="BY107" i="13" s="1"/>
  <c r="BW19" i="13"/>
  <c r="BZ19" i="13" s="1"/>
  <c r="BW26" i="13"/>
  <c r="BZ26" i="13" s="1"/>
  <c r="BW183" i="13"/>
  <c r="BY183" i="13" s="1"/>
  <c r="BW179" i="13"/>
  <c r="BZ179" i="13" s="1"/>
  <c r="BX106" i="13"/>
  <c r="BX134" i="13"/>
  <c r="BX113" i="13"/>
  <c r="BX46" i="13"/>
  <c r="BX99" i="13"/>
  <c r="BX154" i="13"/>
  <c r="BF126" i="13"/>
  <c r="BG126" i="13" s="1"/>
  <c r="P117" i="5" s="1"/>
  <c r="BI126" i="13"/>
  <c r="BJ126" i="13" s="1"/>
  <c r="W117" i="5" s="1"/>
  <c r="BW198" i="13"/>
  <c r="BZ198" i="13" s="1"/>
  <c r="BX223" i="13"/>
  <c r="BX198" i="13"/>
  <c r="BX36" i="13"/>
  <c r="BX144" i="13"/>
  <c r="BX67" i="13"/>
  <c r="BX110" i="13"/>
  <c r="BW98" i="13"/>
  <c r="BZ98" i="13" s="1"/>
  <c r="BX222" i="13"/>
  <c r="BX167" i="13"/>
  <c r="BX123" i="13"/>
  <c r="BX37" i="13"/>
  <c r="BX233" i="13"/>
  <c r="BX66" i="13"/>
  <c r="BX168" i="13"/>
  <c r="BX98" i="13"/>
  <c r="BX219" i="13"/>
  <c r="BX152" i="13"/>
  <c r="BX224" i="13"/>
  <c r="BX166" i="13"/>
  <c r="BX216" i="13"/>
  <c r="BX111" i="13"/>
  <c r="BX231" i="13"/>
  <c r="BW97" i="13"/>
  <c r="BY97" i="13" s="1"/>
  <c r="BX35" i="13"/>
  <c r="BX221" i="13"/>
  <c r="BX220" i="13"/>
  <c r="BX153" i="13"/>
  <c r="BX197" i="13"/>
  <c r="BW144" i="13"/>
  <c r="BY144" i="13" s="1"/>
  <c r="BX218" i="13"/>
  <c r="BX97" i="13"/>
  <c r="BX232" i="13"/>
  <c r="BX225" i="13"/>
  <c r="BX215" i="13"/>
  <c r="BX214" i="13"/>
  <c r="BX34" i="13"/>
  <c r="BX124" i="13"/>
  <c r="BX217" i="13"/>
  <c r="BC100" i="13"/>
  <c r="BW232" i="13"/>
  <c r="BW166" i="13"/>
  <c r="BY187" i="13"/>
  <c r="CB187" i="13"/>
  <c r="BZ187" i="13"/>
  <c r="BW34" i="13"/>
  <c r="BW66" i="13"/>
  <c r="BW219" i="13"/>
  <c r="BY46" i="13"/>
  <c r="CF46" i="13" s="1"/>
  <c r="BW167" i="13"/>
  <c r="BW223" i="13"/>
  <c r="BW111" i="13"/>
  <c r="BW214" i="13"/>
  <c r="BW123" i="13"/>
  <c r="BW110" i="13"/>
  <c r="BW220" i="13"/>
  <c r="BW124" i="13"/>
  <c r="BW35" i="13"/>
  <c r="AA223" i="13"/>
  <c r="AI223" i="13" s="1"/>
  <c r="BW152" i="13"/>
  <c r="BW153" i="13"/>
  <c r="BY103" i="13"/>
  <c r="CB103" i="13"/>
  <c r="BZ103" i="13"/>
  <c r="BW224" i="13"/>
  <c r="BW222" i="13"/>
  <c r="BW67" i="13"/>
  <c r="BW225" i="13"/>
  <c r="BW215" i="13"/>
  <c r="BW36" i="13"/>
  <c r="BW221" i="13"/>
  <c r="BW231" i="13"/>
  <c r="BW217" i="13"/>
  <c r="BW37" i="13"/>
  <c r="BW197" i="13"/>
  <c r="BW218" i="13"/>
  <c r="D87" i="16"/>
  <c r="Z204" i="13"/>
  <c r="BI204" i="13"/>
  <c r="BJ204" i="13" s="1"/>
  <c r="W198" i="5" s="1"/>
  <c r="V199" i="21" s="1"/>
  <c r="BF204" i="13"/>
  <c r="BG204" i="13" s="1"/>
  <c r="P198" i="5" s="1"/>
  <c r="O199" i="21" s="1"/>
  <c r="AA220" i="13"/>
  <c r="AJ220" i="13" s="1"/>
  <c r="BF100" i="13"/>
  <c r="BG100" i="13" s="1"/>
  <c r="P94" i="5" s="1"/>
  <c r="BC107" i="13"/>
  <c r="BD107" i="13" s="1"/>
  <c r="BF107" i="13"/>
  <c r="BG107" i="13" s="1"/>
  <c r="BI107" i="13"/>
  <c r="BJ107" i="13" s="1"/>
  <c r="BC115" i="13"/>
  <c r="BI115" i="13"/>
  <c r="BJ115" i="13" s="1"/>
  <c r="W106" i="5" s="1"/>
  <c r="BF115" i="13"/>
  <c r="BG115" i="13" s="1"/>
  <c r="P106" i="5" s="1"/>
  <c r="BC159" i="13"/>
  <c r="BD159" i="13" s="1"/>
  <c r="BI159" i="13"/>
  <c r="BJ159" i="13" s="1"/>
  <c r="BF159" i="13"/>
  <c r="BG159" i="13" s="1"/>
  <c r="BC169" i="13"/>
  <c r="BF169" i="13"/>
  <c r="BG169" i="13" s="1"/>
  <c r="P162" i="5" s="1"/>
  <c r="BI169" i="13"/>
  <c r="BJ169" i="13" s="1"/>
  <c r="W162" i="5" s="1"/>
  <c r="BC171" i="13"/>
  <c r="BF171" i="13"/>
  <c r="BG171" i="13" s="1"/>
  <c r="P165" i="5" s="1"/>
  <c r="BI171" i="13"/>
  <c r="BJ171" i="13" s="1"/>
  <c r="W165" i="5" s="1"/>
  <c r="BC109" i="13"/>
  <c r="BD109" i="13" s="1"/>
  <c r="BI109" i="13"/>
  <c r="BJ109" i="13" s="1"/>
  <c r="BF109" i="13"/>
  <c r="BG109" i="13" s="1"/>
  <c r="BC121" i="13"/>
  <c r="BF121" i="13"/>
  <c r="BG121" i="13" s="1"/>
  <c r="P112" i="5" s="1"/>
  <c r="O111" i="21" s="1"/>
  <c r="BC164" i="13"/>
  <c r="BF164" i="13"/>
  <c r="BG164" i="13" s="1"/>
  <c r="P157" i="5" s="1"/>
  <c r="O157" i="21" s="1"/>
  <c r="BI164" i="13"/>
  <c r="BJ164" i="13" s="1"/>
  <c r="W157" i="5" s="1"/>
  <c r="V157" i="21" s="1"/>
  <c r="BC200" i="13"/>
  <c r="BI200" i="13"/>
  <c r="BJ200" i="13" s="1"/>
  <c r="W193" i="5" s="1"/>
  <c r="V194" i="21" s="1"/>
  <c r="BF200" i="13"/>
  <c r="BG200" i="13" s="1"/>
  <c r="P193" i="5" s="1"/>
  <c r="O194" i="21" s="1"/>
  <c r="D18" i="16"/>
  <c r="BC211" i="13"/>
  <c r="BF211" i="13"/>
  <c r="BG211" i="13" s="1"/>
  <c r="P204" i="5" s="1"/>
  <c r="BI211" i="13"/>
  <c r="BJ211" i="13" s="1"/>
  <c r="W204" i="5" s="1"/>
  <c r="V204" i="21" s="1"/>
  <c r="D8" i="16"/>
  <c r="D39" i="16"/>
  <c r="BC106" i="13"/>
  <c r="BD106" i="13" s="1"/>
  <c r="BF106" i="13"/>
  <c r="BG106" i="13" s="1"/>
  <c r="BI106" i="13"/>
  <c r="BJ106" i="13" s="1"/>
  <c r="AA218" i="13"/>
  <c r="AI218" i="13" s="1"/>
  <c r="D19" i="16"/>
  <c r="D48" i="16"/>
  <c r="BC10" i="13"/>
  <c r="BI10" i="13"/>
  <c r="BJ10" i="13" s="1"/>
  <c r="W11" i="5" s="1"/>
  <c r="V11" i="21" s="1"/>
  <c r="BF10" i="13"/>
  <c r="BG10" i="13" s="1"/>
  <c r="D78" i="16"/>
  <c r="D54" i="16"/>
  <c r="BC108" i="13"/>
  <c r="BD108" i="13" s="1"/>
  <c r="BI108" i="13"/>
  <c r="BJ108" i="13" s="1"/>
  <c r="BF108" i="13"/>
  <c r="BG108" i="13" s="1"/>
  <c r="D98" i="16"/>
  <c r="D46" i="16"/>
  <c r="D23" i="16"/>
  <c r="Z89" i="13" l="1"/>
  <c r="T86" i="13"/>
  <c r="Z86" i="13" s="1"/>
  <c r="Z48" i="13"/>
  <c r="AA48" i="13" s="1"/>
  <c r="F47" i="5" s="1"/>
  <c r="T46" i="13"/>
  <c r="Z46" i="13" s="1"/>
  <c r="Z165" i="13"/>
  <c r="T164" i="13"/>
  <c r="Z164" i="13" s="1"/>
  <c r="Z145" i="13"/>
  <c r="AA145" i="13" s="1"/>
  <c r="BA145" i="13" s="1"/>
  <c r="T144" i="13"/>
  <c r="Z144" i="13" s="1"/>
  <c r="Z152" i="13" s="1"/>
  <c r="T90" i="13"/>
  <c r="Z90" i="13" s="1"/>
  <c r="O112" i="21"/>
  <c r="O113" i="21"/>
  <c r="H113" i="21"/>
  <c r="V179" i="21"/>
  <c r="V182" i="21"/>
  <c r="V112" i="21"/>
  <c r="V113" i="21"/>
  <c r="O201" i="21"/>
  <c r="O204" i="21"/>
  <c r="O179" i="21"/>
  <c r="O182" i="21"/>
  <c r="H179" i="21"/>
  <c r="H182" i="21"/>
  <c r="AA249" i="13"/>
  <c r="F136" i="5" s="1"/>
  <c r="AC136" i="5" s="1"/>
  <c r="BB145" i="13"/>
  <c r="V201" i="21"/>
  <c r="O89" i="21"/>
  <c r="O90" i="21"/>
  <c r="O124" i="21"/>
  <c r="H128" i="21"/>
  <c r="H89" i="21"/>
  <c r="H90" i="21"/>
  <c r="O128" i="21"/>
  <c r="V198" i="21"/>
  <c r="H109" i="21"/>
  <c r="H198" i="21"/>
  <c r="V107" i="21"/>
  <c r="V109" i="21"/>
  <c r="H82" i="21"/>
  <c r="H83" i="21"/>
  <c r="O198" i="21"/>
  <c r="O107" i="21"/>
  <c r="O109" i="21"/>
  <c r="V82" i="21"/>
  <c r="V83" i="21"/>
  <c r="V162" i="21"/>
  <c r="O162" i="21"/>
  <c r="V193" i="21"/>
  <c r="O94" i="21"/>
  <c r="O95" i="21"/>
  <c r="O82" i="21"/>
  <c r="O83" i="21"/>
  <c r="O169" i="21"/>
  <c r="O172" i="21"/>
  <c r="O193" i="21"/>
  <c r="V79" i="21"/>
  <c r="V80" i="21"/>
  <c r="O76" i="21"/>
  <c r="O77" i="21"/>
  <c r="O79" i="21"/>
  <c r="O80" i="21"/>
  <c r="V124" i="21"/>
  <c r="H76" i="21"/>
  <c r="H77" i="21"/>
  <c r="H176" i="21"/>
  <c r="H79" i="21"/>
  <c r="H80" i="21"/>
  <c r="V128" i="21"/>
  <c r="V176" i="21"/>
  <c r="H169" i="21"/>
  <c r="V89" i="21"/>
  <c r="V90" i="21"/>
  <c r="H124" i="21"/>
  <c r="O176" i="21"/>
  <c r="V169" i="21"/>
  <c r="V172" i="21"/>
  <c r="I25" i="3"/>
  <c r="BQ251" i="13"/>
  <c r="BC251" i="13"/>
  <c r="AP49" i="13"/>
  <c r="BB49" i="13" s="1"/>
  <c r="AO49" i="13"/>
  <c r="BA49" i="13" s="1"/>
  <c r="Z114" i="13"/>
  <c r="AA114" i="13" s="1"/>
  <c r="AA253" i="13" s="1"/>
  <c r="AO114" i="13"/>
  <c r="AP114" i="13"/>
  <c r="BH250" i="13"/>
  <c r="BR250" i="13"/>
  <c r="BK250" i="13"/>
  <c r="BS250" i="13"/>
  <c r="BE250" i="13"/>
  <c r="BF237" i="13"/>
  <c r="BG237" i="13" s="1"/>
  <c r="P118" i="5" s="1"/>
  <c r="BR237" i="13"/>
  <c r="BI237" i="13"/>
  <c r="BJ237" i="13" s="1"/>
  <c r="W118" i="5" s="1"/>
  <c r="BS237" i="13"/>
  <c r="BC237" i="13"/>
  <c r="BD237" i="13" s="1"/>
  <c r="I118" i="5" s="1"/>
  <c r="BQ237" i="13"/>
  <c r="Z94" i="13"/>
  <c r="AA94" i="13" s="1"/>
  <c r="AA93" i="13" s="1"/>
  <c r="I22" i="3"/>
  <c r="I21" i="3"/>
  <c r="Z84" i="13"/>
  <c r="AA84" i="13" s="1"/>
  <c r="AA83" i="13" s="1"/>
  <c r="I19" i="3"/>
  <c r="AC186" i="5"/>
  <c r="AC131" i="5"/>
  <c r="AC152" i="5"/>
  <c r="AC183" i="5"/>
  <c r="AA39" i="21"/>
  <c r="V20" i="21"/>
  <c r="AC195" i="5"/>
  <c r="AE192" i="21"/>
  <c r="AC39" i="5"/>
  <c r="E39" i="21"/>
  <c r="AE39" i="21" s="1"/>
  <c r="AC164" i="5"/>
  <c r="AE161" i="21"/>
  <c r="AC47" i="5"/>
  <c r="E47" i="21"/>
  <c r="AE47" i="21" s="1"/>
  <c r="AC142" i="5"/>
  <c r="AC98" i="5"/>
  <c r="AC118" i="5"/>
  <c r="AA157" i="21"/>
  <c r="V76" i="21"/>
  <c r="R64" i="21"/>
  <c r="AA11" i="21"/>
  <c r="AH11" i="21"/>
  <c r="AA190" i="21"/>
  <c r="AA105" i="21"/>
  <c r="AA216" i="21"/>
  <c r="AA175" i="21"/>
  <c r="AA98" i="21"/>
  <c r="AH99" i="21"/>
  <c r="X64" i="21"/>
  <c r="Q64" i="21"/>
  <c r="AG99" i="21"/>
  <c r="AC254" i="5"/>
  <c r="I28" i="3"/>
  <c r="T77" i="13" s="1"/>
  <c r="AJ105" i="13"/>
  <c r="AJ224" i="13"/>
  <c r="AH224" i="13"/>
  <c r="AJ228" i="13"/>
  <c r="AH236" i="13"/>
  <c r="AH58" i="13" s="1"/>
  <c r="AJ236" i="13"/>
  <c r="AJ58" i="13" s="1"/>
  <c r="AI236" i="13"/>
  <c r="AI58" i="13" s="1"/>
  <c r="AH127" i="13"/>
  <c r="AJ127" i="13"/>
  <c r="AI127" i="13"/>
  <c r="AH137" i="13"/>
  <c r="AJ137" i="13"/>
  <c r="AI137" i="13"/>
  <c r="AJ157" i="13"/>
  <c r="AI157" i="13"/>
  <c r="AH157" i="13"/>
  <c r="AJ73" i="13"/>
  <c r="AI73" i="13"/>
  <c r="AH73" i="13"/>
  <c r="AI190" i="13"/>
  <c r="AH190" i="13"/>
  <c r="AJ190" i="13"/>
  <c r="AH85" i="13"/>
  <c r="AI85" i="13"/>
  <c r="AJ85" i="13"/>
  <c r="AI53" i="13"/>
  <c r="AH53" i="13"/>
  <c r="AJ53" i="13"/>
  <c r="AI226" i="13"/>
  <c r="AI228" i="13"/>
  <c r="AH105" i="13"/>
  <c r="AJ139" i="13"/>
  <c r="AI139" i="13"/>
  <c r="AH139" i="13"/>
  <c r="AH101" i="13"/>
  <c r="BQ101" i="13" s="1"/>
  <c r="AJ101" i="13"/>
  <c r="BS101" i="13" s="1"/>
  <c r="AI101" i="13"/>
  <c r="BR101" i="13" s="1"/>
  <c r="AH14" i="13"/>
  <c r="AI14" i="13"/>
  <c r="AJ14" i="13"/>
  <c r="AJ151" i="13"/>
  <c r="BS151" i="13" s="1"/>
  <c r="AH151" i="13"/>
  <c r="BQ151" i="13" s="1"/>
  <c r="AI151" i="13"/>
  <c r="BR151" i="13" s="1"/>
  <c r="AJ136" i="13"/>
  <c r="AH136" i="13"/>
  <c r="AI136" i="13"/>
  <c r="AI74" i="13"/>
  <c r="AH74" i="13"/>
  <c r="AJ74" i="13"/>
  <c r="AJ52" i="13"/>
  <c r="AJ70" i="13" s="1"/>
  <c r="AI52" i="13"/>
  <c r="AI70" i="13" s="1"/>
  <c r="AH52" i="13"/>
  <c r="AH70" i="13" s="1"/>
  <c r="AH220" i="13"/>
  <c r="AJ223" i="13"/>
  <c r="AJ218" i="13"/>
  <c r="AH239" i="13"/>
  <c r="BC239" i="13" s="1"/>
  <c r="AJ239" i="13"/>
  <c r="BI239" i="13" s="1"/>
  <c r="AI239" i="13"/>
  <c r="BF239" i="13" s="1"/>
  <c r="AJ18" i="13"/>
  <c r="AH18" i="13"/>
  <c r="AI18" i="13"/>
  <c r="AI135" i="13"/>
  <c r="AH135" i="13"/>
  <c r="AJ135" i="13"/>
  <c r="AJ188" i="13"/>
  <c r="AJ187" i="13" s="1"/>
  <c r="BI187" i="13" s="1"/>
  <c r="BJ187" i="13" s="1"/>
  <c r="W180" i="5" s="1"/>
  <c r="AH188" i="13"/>
  <c r="AH187" i="13" s="1"/>
  <c r="BC187" i="13" s="1"/>
  <c r="BD187" i="13" s="1"/>
  <c r="AI188" i="13"/>
  <c r="AI187" i="13" s="1"/>
  <c r="BF187" i="13" s="1"/>
  <c r="BG187" i="13" s="1"/>
  <c r="P180" i="5" s="1"/>
  <c r="AH40" i="13"/>
  <c r="AJ40" i="13"/>
  <c r="AI40" i="13"/>
  <c r="AH241" i="13"/>
  <c r="BQ241" i="13" s="1"/>
  <c r="AJ241" i="13"/>
  <c r="BS241" i="13" s="1"/>
  <c r="AI241" i="13"/>
  <c r="BR241" i="13" s="1"/>
  <c r="AH193" i="13"/>
  <c r="AJ193" i="13"/>
  <c r="AI193" i="13"/>
  <c r="AI122" i="13"/>
  <c r="AI121" i="13" s="1"/>
  <c r="AJ122" i="13"/>
  <c r="AJ121" i="13" s="1"/>
  <c r="AH122" i="13"/>
  <c r="AH121" i="13" s="1"/>
  <c r="AJ161" i="13"/>
  <c r="AJ160" i="13" s="1"/>
  <c r="AH161" i="13"/>
  <c r="AH160" i="13" s="1"/>
  <c r="AI161" i="13"/>
  <c r="AI160" i="13" s="1"/>
  <c r="AJ78" i="13"/>
  <c r="AI78" i="13"/>
  <c r="AH78" i="13"/>
  <c r="AI220" i="13"/>
  <c r="AJ226" i="13"/>
  <c r="AJ54" i="13"/>
  <c r="AH54" i="13"/>
  <c r="AI54" i="13"/>
  <c r="AI243" i="13"/>
  <c r="AH243" i="13"/>
  <c r="AJ243" i="13"/>
  <c r="AI129" i="13"/>
  <c r="BR129" i="13" s="1"/>
  <c r="AH129" i="13"/>
  <c r="BQ129" i="13" s="1"/>
  <c r="AJ129" i="13"/>
  <c r="BS129" i="13" s="1"/>
  <c r="AH12" i="13"/>
  <c r="AJ12" i="13"/>
  <c r="AI12" i="13"/>
  <c r="AJ17" i="13"/>
  <c r="AH17" i="13"/>
  <c r="AI17" i="13"/>
  <c r="AJ133" i="13"/>
  <c r="AI133" i="13"/>
  <c r="AH133" i="13"/>
  <c r="AH72" i="13"/>
  <c r="AJ72" i="13"/>
  <c r="AI72" i="13"/>
  <c r="AJ61" i="13"/>
  <c r="AH61" i="13"/>
  <c r="AI61" i="13"/>
  <c r="AH223" i="13"/>
  <c r="AH191" i="13"/>
  <c r="AJ194" i="13"/>
  <c r="AJ196" i="13"/>
  <c r="AJ195" i="13"/>
  <c r="AH244" i="13"/>
  <c r="AJ244" i="13"/>
  <c r="AI244" i="13"/>
  <c r="AJ27" i="13"/>
  <c r="BI27" i="13" s="1"/>
  <c r="AI27" i="13"/>
  <c r="BF27" i="13" s="1"/>
  <c r="AH27" i="13"/>
  <c r="BC27" i="13" s="1"/>
  <c r="AH180" i="13"/>
  <c r="AJ180" i="13"/>
  <c r="AI180" i="13"/>
  <c r="AH11" i="13"/>
  <c r="AJ11" i="13"/>
  <c r="AI11" i="13"/>
  <c r="AI57" i="13"/>
  <c r="AJ57" i="13"/>
  <c r="AH57" i="13"/>
  <c r="AI71" i="13"/>
  <c r="AH71" i="13"/>
  <c r="AJ71" i="13"/>
  <c r="AH102" i="13"/>
  <c r="BQ102" i="13" s="1"/>
  <c r="AI102" i="13"/>
  <c r="BR102" i="13" s="1"/>
  <c r="AJ102" i="13"/>
  <c r="BS102" i="13" s="1"/>
  <c r="AI163" i="13"/>
  <c r="AH163" i="13"/>
  <c r="AJ163" i="13"/>
  <c r="AJ32" i="13"/>
  <c r="AI32" i="13"/>
  <c r="AH32" i="13"/>
  <c r="AH119" i="13"/>
  <c r="AJ119" i="13"/>
  <c r="AI119" i="13"/>
  <c r="AI76" i="13"/>
  <c r="AH76" i="13"/>
  <c r="AJ76" i="13"/>
  <c r="AH230" i="13"/>
  <c r="AH218" i="13"/>
  <c r="AI191" i="13"/>
  <c r="AH195" i="13"/>
  <c r="AH196" i="13"/>
  <c r="AH194" i="13"/>
  <c r="AH240" i="13"/>
  <c r="AJ240" i="13"/>
  <c r="AI240" i="13"/>
  <c r="AH132" i="13"/>
  <c r="AJ132" i="13"/>
  <c r="AI132" i="13"/>
  <c r="AJ147" i="13"/>
  <c r="BS147" i="13" s="1"/>
  <c r="AI147" i="13"/>
  <c r="BR147" i="13" s="1"/>
  <c r="AH147" i="13"/>
  <c r="BQ147" i="13" s="1"/>
  <c r="AI20" i="13"/>
  <c r="AH20" i="13"/>
  <c r="AJ20" i="13"/>
  <c r="AJ22" i="13"/>
  <c r="AI22" i="13"/>
  <c r="AH22" i="13"/>
  <c r="AH128" i="13"/>
  <c r="BQ128" i="13" s="1"/>
  <c r="AJ128" i="13"/>
  <c r="BS128" i="13" s="1"/>
  <c r="AI128" i="13"/>
  <c r="BR128" i="13" s="1"/>
  <c r="AH15" i="13"/>
  <c r="AJ15" i="13"/>
  <c r="AI15" i="13"/>
  <c r="AI24" i="13"/>
  <c r="BR24" i="13" s="1"/>
  <c r="AJ24" i="13"/>
  <c r="BS24" i="13" s="1"/>
  <c r="AH24" i="13"/>
  <c r="BQ24" i="13" s="1"/>
  <c r="AI145" i="13"/>
  <c r="AH145" i="13"/>
  <c r="AJ145" i="13"/>
  <c r="AJ149" i="13"/>
  <c r="AI149" i="13"/>
  <c r="AH149" i="13"/>
  <c r="AI23" i="13"/>
  <c r="AH23" i="13"/>
  <c r="AJ23" i="13"/>
  <c r="AI28" i="13"/>
  <c r="AH28" i="13"/>
  <c r="AJ28" i="13"/>
  <c r="AI230" i="13"/>
  <c r="AJ191" i="13"/>
  <c r="AI194" i="13"/>
  <c r="AI196" i="13"/>
  <c r="AI195" i="13"/>
  <c r="AI60" i="13"/>
  <c r="AH60" i="13"/>
  <c r="AJ60" i="13"/>
  <c r="AI238" i="13"/>
  <c r="BR238" i="13" s="1"/>
  <c r="AH238" i="13"/>
  <c r="BQ238" i="13" s="1"/>
  <c r="AJ238" i="13"/>
  <c r="BS238" i="13" s="1"/>
  <c r="AJ120" i="13"/>
  <c r="AI120" i="13"/>
  <c r="AH120" i="13"/>
  <c r="AH25" i="13"/>
  <c r="BQ25" i="13" s="1"/>
  <c r="AJ25" i="13"/>
  <c r="BS25" i="13" s="1"/>
  <c r="AI25" i="13"/>
  <c r="BR25" i="13" s="1"/>
  <c r="AI131" i="13"/>
  <c r="AH131" i="13"/>
  <c r="AJ131" i="13"/>
  <c r="AI33" i="13"/>
  <c r="AH33" i="13"/>
  <c r="AJ33" i="13"/>
  <c r="AH114" i="13"/>
  <c r="AJ114" i="13"/>
  <c r="AI114" i="13"/>
  <c r="AH222" i="13"/>
  <c r="AJ43" i="13"/>
  <c r="AJ42" i="13"/>
  <c r="AJ45" i="13"/>
  <c r="AJ44" i="13"/>
  <c r="AH13" i="13"/>
  <c r="AJ13" i="13"/>
  <c r="AI13" i="13"/>
  <c r="AH172" i="13"/>
  <c r="AJ172" i="13"/>
  <c r="AI172" i="13"/>
  <c r="AH209" i="13"/>
  <c r="AJ209" i="13"/>
  <c r="AI209" i="13"/>
  <c r="AI116" i="13"/>
  <c r="AI115" i="13" s="1"/>
  <c r="AH116" i="13"/>
  <c r="AH115" i="13" s="1"/>
  <c r="AJ116" i="13"/>
  <c r="AJ115" i="13" s="1"/>
  <c r="AJ31" i="13"/>
  <c r="AI31" i="13"/>
  <c r="AH31" i="13"/>
  <c r="AI222" i="13"/>
  <c r="AH43" i="13"/>
  <c r="AH44" i="13"/>
  <c r="AH42" i="13"/>
  <c r="AH45" i="13"/>
  <c r="AJ29" i="13"/>
  <c r="AH29" i="13"/>
  <c r="AI29" i="13"/>
  <c r="AI158" i="13"/>
  <c r="AH158" i="13"/>
  <c r="AJ158" i="13"/>
  <c r="AH21" i="13"/>
  <c r="AJ21" i="13"/>
  <c r="AI21" i="13"/>
  <c r="AI150" i="13"/>
  <c r="BR150" i="13" s="1"/>
  <c r="AH150" i="13"/>
  <c r="BQ150" i="13" s="1"/>
  <c r="AJ150" i="13"/>
  <c r="BS150" i="13" s="1"/>
  <c r="AJ156" i="13"/>
  <c r="BS156" i="13" s="1"/>
  <c r="AI156" i="13"/>
  <c r="BR156" i="13" s="1"/>
  <c r="AH156" i="13"/>
  <c r="BQ156" i="13" s="1"/>
  <c r="AJ146" i="13"/>
  <c r="BS146" i="13" s="1"/>
  <c r="AH146" i="13"/>
  <c r="BQ146" i="13" s="1"/>
  <c r="AI146" i="13"/>
  <c r="BR146" i="13" s="1"/>
  <c r="AI64" i="13"/>
  <c r="AH64" i="13"/>
  <c r="AJ64" i="13"/>
  <c r="Z202" i="13"/>
  <c r="AI43" i="13"/>
  <c r="AI42" i="13"/>
  <c r="AI45" i="13"/>
  <c r="AI44" i="13"/>
  <c r="AH88" i="13"/>
  <c r="AJ88" i="13"/>
  <c r="AI88" i="13"/>
  <c r="AI87" i="13"/>
  <c r="AH87" i="13"/>
  <c r="AJ87" i="13"/>
  <c r="AH118" i="13"/>
  <c r="AJ118" i="13"/>
  <c r="AI118" i="13"/>
  <c r="AJ47" i="13"/>
  <c r="AI47" i="13"/>
  <c r="AH47" i="13"/>
  <c r="AI184" i="13"/>
  <c r="AH184" i="13"/>
  <c r="AJ184" i="13"/>
  <c r="AI105" i="13"/>
  <c r="Z205" i="13"/>
  <c r="AA205" i="13" s="1"/>
  <c r="Z213" i="13"/>
  <c r="AD40" i="13"/>
  <c r="F154" i="5"/>
  <c r="E154" i="21" s="1"/>
  <c r="BA163" i="13"/>
  <c r="F168" i="5"/>
  <c r="F107" i="5"/>
  <c r="Z203" i="13"/>
  <c r="F149" i="5"/>
  <c r="E149" i="21" s="1"/>
  <c r="AE149" i="21" s="1"/>
  <c r="F109" i="5"/>
  <c r="Z91" i="13"/>
  <c r="AA91" i="13" s="1"/>
  <c r="Z92" i="13"/>
  <c r="AA92" i="13" s="1"/>
  <c r="F88" i="5" s="1"/>
  <c r="F187" i="5"/>
  <c r="E187" i="21" s="1"/>
  <c r="F48" i="5"/>
  <c r="F56" i="5"/>
  <c r="F90" i="5"/>
  <c r="CF95" i="13"/>
  <c r="Z80" i="13"/>
  <c r="AA80" i="13" s="1"/>
  <c r="F59" i="5"/>
  <c r="F41" i="5"/>
  <c r="F133" i="5"/>
  <c r="AE40" i="13"/>
  <c r="F143" i="5"/>
  <c r="E143" i="21" s="1"/>
  <c r="AE143" i="21" s="1"/>
  <c r="F66" i="5"/>
  <c r="F175" i="5"/>
  <c r="F55" i="5"/>
  <c r="F166" i="5"/>
  <c r="BB114" i="13"/>
  <c r="F134" i="5"/>
  <c r="F138" i="5"/>
  <c r="AP32" i="13"/>
  <c r="BB32" i="13" s="1"/>
  <c r="AO32" i="13"/>
  <c r="BA32" i="13" s="1"/>
  <c r="F67" i="5"/>
  <c r="F113" i="5"/>
  <c r="E113" i="21" s="1"/>
  <c r="F139" i="5"/>
  <c r="F181" i="5"/>
  <c r="F137" i="5"/>
  <c r="F34" i="5"/>
  <c r="BB181" i="13"/>
  <c r="AA63" i="13"/>
  <c r="AA113" i="13"/>
  <c r="F105" i="5"/>
  <c r="BB157" i="13"/>
  <c r="F150" i="5"/>
  <c r="E150" i="21" s="1"/>
  <c r="F84" i="5"/>
  <c r="F141" i="5"/>
  <c r="AA189" i="13"/>
  <c r="F184" i="5"/>
  <c r="E184" i="21" s="1"/>
  <c r="X219" i="13"/>
  <c r="F49" i="5"/>
  <c r="AF40" i="13"/>
  <c r="AA103" i="13"/>
  <c r="AA162" i="13"/>
  <c r="F98" i="16"/>
  <c r="I98" i="16" s="1"/>
  <c r="F211" i="5"/>
  <c r="F188" i="5"/>
  <c r="E188" i="21" s="1"/>
  <c r="AE188" i="21" s="1"/>
  <c r="AA56" i="13"/>
  <c r="X201" i="13"/>
  <c r="Z201" i="13" s="1"/>
  <c r="F29" i="5"/>
  <c r="F30" i="5"/>
  <c r="F12" i="5"/>
  <c r="AC12" i="5" s="1"/>
  <c r="F19" i="5"/>
  <c r="AA69" i="13"/>
  <c r="BB151" i="13"/>
  <c r="BA151" i="13"/>
  <c r="AA187" i="13"/>
  <c r="BB188" i="13"/>
  <c r="BA188" i="13"/>
  <c r="AA160" i="13"/>
  <c r="BB161" i="13"/>
  <c r="BA161" i="13"/>
  <c r="AA115" i="13"/>
  <c r="AA121" i="13"/>
  <c r="AA46" i="13"/>
  <c r="BB150" i="13"/>
  <c r="BA150" i="13"/>
  <c r="BB142" i="13"/>
  <c r="BA142" i="13"/>
  <c r="BA156" i="13"/>
  <c r="AZ156" i="13"/>
  <c r="BB156" i="13"/>
  <c r="AA144" i="13"/>
  <c r="I26" i="3" s="1"/>
  <c r="AA148" i="13"/>
  <c r="F124" i="5"/>
  <c r="AA130" i="13"/>
  <c r="BB163" i="13"/>
  <c r="AA165" i="13"/>
  <c r="AA59" i="13"/>
  <c r="BB102" i="13"/>
  <c r="AA225" i="13"/>
  <c r="BA102" i="13"/>
  <c r="AA89" i="13"/>
  <c r="D104" i="16"/>
  <c r="F104" i="16" s="1"/>
  <c r="AA227" i="13"/>
  <c r="D106" i="16"/>
  <c r="F106" i="16" s="1"/>
  <c r="AA192" i="13"/>
  <c r="D86" i="16"/>
  <c r="D94" i="16"/>
  <c r="AA100" i="13"/>
  <c r="D52" i="16"/>
  <c r="D96" i="16"/>
  <c r="AA179" i="13"/>
  <c r="BB173" i="13"/>
  <c r="BA173" i="13"/>
  <c r="AZ173" i="13"/>
  <c r="BR251" i="13"/>
  <c r="BS251" i="13"/>
  <c r="BD10" i="13"/>
  <c r="P11" i="5" s="1"/>
  <c r="O11" i="21" s="1"/>
  <c r="AA117" i="13"/>
  <c r="BF234" i="13"/>
  <c r="BC234" i="13"/>
  <c r="BJ234" i="13"/>
  <c r="W39" i="5" s="1"/>
  <c r="V39" i="21" s="1"/>
  <c r="F202" i="5"/>
  <c r="BJ245" i="13"/>
  <c r="W98" i="5" s="1"/>
  <c r="BG245" i="13"/>
  <c r="P98" i="5" s="1"/>
  <c r="BD245" i="13"/>
  <c r="I98" i="5" s="1"/>
  <c r="BD247" i="13"/>
  <c r="I186" i="5" s="1"/>
  <c r="H186" i="21" s="1"/>
  <c r="BD246" i="13"/>
  <c r="I183" i="5" s="1"/>
  <c r="H183" i="21" s="1"/>
  <c r="BG247" i="13"/>
  <c r="P186" i="5" s="1"/>
  <c r="O186" i="21" s="1"/>
  <c r="BG246" i="13"/>
  <c r="P183" i="5" s="1"/>
  <c r="O183" i="21" s="1"/>
  <c r="BJ247" i="13"/>
  <c r="W186" i="5" s="1"/>
  <c r="V186" i="21" s="1"/>
  <c r="BJ246" i="13"/>
  <c r="W183" i="5" s="1"/>
  <c r="V183" i="21" s="1"/>
  <c r="AA138" i="13"/>
  <c r="AA134" i="13"/>
  <c r="AA183" i="13"/>
  <c r="AA30" i="13"/>
  <c r="AA175" i="13"/>
  <c r="AA171" i="13"/>
  <c r="AA155" i="13"/>
  <c r="AA126" i="13"/>
  <c r="AA51" i="13"/>
  <c r="AA10" i="13"/>
  <c r="AA26" i="13"/>
  <c r="AA19" i="13"/>
  <c r="AA16" i="13"/>
  <c r="AA206" i="13"/>
  <c r="AA170" i="13"/>
  <c r="AA212" i="13"/>
  <c r="BD248" i="13"/>
  <c r="I195" i="5" s="1"/>
  <c r="BJ248" i="13"/>
  <c r="W195" i="5" s="1"/>
  <c r="BG248" i="13"/>
  <c r="P195" i="5" s="1"/>
  <c r="AA41" i="13"/>
  <c r="AJ41" i="13" s="1"/>
  <c r="F25" i="5"/>
  <c r="BB158" i="13"/>
  <c r="BA158" i="13"/>
  <c r="AZ128" i="13"/>
  <c r="BB128" i="13"/>
  <c r="BA128" i="13"/>
  <c r="BF15" i="13"/>
  <c r="BI15" i="13"/>
  <c r="F16" i="5"/>
  <c r="BC15" i="13"/>
  <c r="F24" i="5"/>
  <c r="Z123" i="13"/>
  <c r="F13" i="5"/>
  <c r="F21" i="5"/>
  <c r="F22" i="5"/>
  <c r="F23" i="5"/>
  <c r="F14" i="5"/>
  <c r="F28" i="5"/>
  <c r="F179" i="5"/>
  <c r="F111" i="5"/>
  <c r="F75" i="5"/>
  <c r="F95" i="5"/>
  <c r="F53" i="5"/>
  <c r="F43" i="5"/>
  <c r="D43" i="16"/>
  <c r="F151" i="5"/>
  <c r="E151" i="21" s="1"/>
  <c r="F52" i="5"/>
  <c r="Z36" i="13"/>
  <c r="F58" i="5"/>
  <c r="F170" i="5"/>
  <c r="F132" i="5"/>
  <c r="E132" i="21" s="1"/>
  <c r="F178" i="5"/>
  <c r="Z66" i="13"/>
  <c r="F167" i="5"/>
  <c r="D68" i="16"/>
  <c r="F171" i="5"/>
  <c r="F42" i="5"/>
  <c r="F44" i="5"/>
  <c r="F120" i="5"/>
  <c r="F128" i="5"/>
  <c r="D75" i="16"/>
  <c r="F189" i="5"/>
  <c r="E189" i="21" s="1"/>
  <c r="AE189" i="21" s="1"/>
  <c r="F110" i="5"/>
  <c r="F223" i="5"/>
  <c r="E223" i="21" s="1"/>
  <c r="F119" i="5"/>
  <c r="BD200" i="13"/>
  <c r="I193" i="5" s="1"/>
  <c r="H194" i="21" s="1"/>
  <c r="BD211" i="13"/>
  <c r="I204" i="5" s="1"/>
  <c r="BD192" i="13"/>
  <c r="I185" i="5" s="1"/>
  <c r="H185" i="21" s="1"/>
  <c r="BD171" i="13"/>
  <c r="I165" i="5" s="1"/>
  <c r="BD169" i="13"/>
  <c r="I162" i="5" s="1"/>
  <c r="BD164" i="13"/>
  <c r="I157" i="5" s="1"/>
  <c r="H157" i="21" s="1"/>
  <c r="I140" i="5"/>
  <c r="BD130" i="13"/>
  <c r="I121" i="5" s="1"/>
  <c r="BD115" i="13"/>
  <c r="I106" i="5" s="1"/>
  <c r="BD121" i="13"/>
  <c r="I112" i="5" s="1"/>
  <c r="H111" i="21" s="1"/>
  <c r="BD100" i="13"/>
  <c r="I94" i="5" s="1"/>
  <c r="F253" i="5"/>
  <c r="AC253" i="5" s="1"/>
  <c r="F244" i="5"/>
  <c r="F126" i="5"/>
  <c r="F245" i="5"/>
  <c r="AC245" i="5" s="1"/>
  <c r="F130" i="5"/>
  <c r="F246" i="5"/>
  <c r="F252" i="5"/>
  <c r="F173" i="5"/>
  <c r="F255" i="5"/>
  <c r="AC255" i="5" s="1"/>
  <c r="F177" i="5"/>
  <c r="F249" i="5"/>
  <c r="F122" i="5"/>
  <c r="F250" i="5"/>
  <c r="BC220" i="13"/>
  <c r="BI226" i="13"/>
  <c r="BJ226" i="13" s="1"/>
  <c r="W219" i="5" s="1"/>
  <c r="BF228" i="13"/>
  <c r="BG228" i="13" s="1"/>
  <c r="P221" i="5" s="1"/>
  <c r="O221" i="21" s="1"/>
  <c r="BC223" i="13"/>
  <c r="Z110" i="13"/>
  <c r="I57" i="5"/>
  <c r="H57" i="21" s="1"/>
  <c r="I50" i="5"/>
  <c r="BC69" i="13"/>
  <c r="AA229" i="13"/>
  <c r="AA34" i="13"/>
  <c r="D102" i="16"/>
  <c r="F102" i="16" s="1"/>
  <c r="I102" i="16" s="1"/>
  <c r="AA217" i="13"/>
  <c r="F221" i="5"/>
  <c r="E221" i="21" s="1"/>
  <c r="Z166" i="13"/>
  <c r="F219" i="5"/>
  <c r="BY90" i="13"/>
  <c r="CB51" i="13"/>
  <c r="BY83" i="13"/>
  <c r="CF83" i="13" s="1"/>
  <c r="CB121" i="13"/>
  <c r="BY121" i="13"/>
  <c r="CB169" i="13"/>
  <c r="CB179" i="13"/>
  <c r="BY179" i="13"/>
  <c r="BY169" i="13"/>
  <c r="CB69" i="13"/>
  <c r="BY69" i="13"/>
  <c r="CB79" i="13"/>
  <c r="CB55" i="13"/>
  <c r="BZ134" i="13"/>
  <c r="CB108" i="13"/>
  <c r="BY108" i="13"/>
  <c r="BZ90" i="13"/>
  <c r="CB39" i="13"/>
  <c r="BZ30" i="13"/>
  <c r="BZ159" i="13"/>
  <c r="BZ106" i="13"/>
  <c r="BZ107" i="13"/>
  <c r="BZ62" i="13"/>
  <c r="CB62" i="13"/>
  <c r="BY171" i="13"/>
  <c r="F97" i="16"/>
  <c r="I97" i="16" s="1"/>
  <c r="CB107" i="13"/>
  <c r="BZ171" i="13"/>
  <c r="BZ109" i="13"/>
  <c r="BZ56" i="13"/>
  <c r="BY19" i="13"/>
  <c r="BZ65" i="13"/>
  <c r="BY100" i="13"/>
  <c r="BZ16" i="13"/>
  <c r="BY200" i="13"/>
  <c r="CF200" i="13" s="1"/>
  <c r="CB56" i="13"/>
  <c r="CB204" i="13"/>
  <c r="CB109" i="13"/>
  <c r="BZ113" i="13"/>
  <c r="CB160" i="13"/>
  <c r="CB26" i="13"/>
  <c r="CB138" i="13"/>
  <c r="CB59" i="13"/>
  <c r="BZ126" i="13"/>
  <c r="BY160" i="13"/>
  <c r="BY26" i="13"/>
  <c r="BZ155" i="13"/>
  <c r="BZ59" i="13"/>
  <c r="CB183" i="13"/>
  <c r="BZ183" i="13"/>
  <c r="CB82" i="13"/>
  <c r="BZ82" i="13"/>
  <c r="BY208" i="13"/>
  <c r="CF208" i="13" s="1"/>
  <c r="BY65" i="13"/>
  <c r="CB19" i="13"/>
  <c r="CB100" i="13"/>
  <c r="BY115" i="13"/>
  <c r="CF115" i="13" s="1"/>
  <c r="CB16" i="13"/>
  <c r="CB95" i="13"/>
  <c r="CB10" i="13"/>
  <c r="BZ10" i="13"/>
  <c r="CB75" i="13"/>
  <c r="CB86" i="13"/>
  <c r="BY93" i="13"/>
  <c r="CF93" i="13" s="1"/>
  <c r="BZ86" i="13"/>
  <c r="BZ96" i="13"/>
  <c r="BZ207" i="13"/>
  <c r="BY164" i="13"/>
  <c r="BY63" i="13"/>
  <c r="CB207" i="13"/>
  <c r="CB96" i="13"/>
  <c r="CB211" i="13"/>
  <c r="BZ164" i="13"/>
  <c r="CB63" i="13"/>
  <c r="CB117" i="13"/>
  <c r="F45" i="16"/>
  <c r="I45" i="16" s="1"/>
  <c r="BF65" i="13"/>
  <c r="BG65" i="13" s="1"/>
  <c r="BI65" i="13"/>
  <c r="BJ65" i="13" s="1"/>
  <c r="F25" i="16"/>
  <c r="I25" i="16" s="1"/>
  <c r="BY98" i="13"/>
  <c r="CB98" i="13"/>
  <c r="BZ97" i="13"/>
  <c r="CB97" i="13"/>
  <c r="F100" i="16"/>
  <c r="I100" i="16" s="1"/>
  <c r="F216" i="5"/>
  <c r="F213" i="5"/>
  <c r="BY198" i="13"/>
  <c r="CB198" i="13"/>
  <c r="CF79" i="13"/>
  <c r="BZ144" i="13"/>
  <c r="CB144" i="13"/>
  <c r="F32" i="16"/>
  <c r="I32" i="16" s="1"/>
  <c r="BY35" i="13"/>
  <c r="CB35" i="13"/>
  <c r="BZ35" i="13"/>
  <c r="BY167" i="13"/>
  <c r="CB167" i="13"/>
  <c r="BZ167" i="13"/>
  <c r="BY153" i="13"/>
  <c r="CB153" i="13"/>
  <c r="BZ153" i="13"/>
  <c r="BY124" i="13"/>
  <c r="BZ124" i="13"/>
  <c r="CB124" i="13"/>
  <c r="BY214" i="13"/>
  <c r="BZ214" i="13"/>
  <c r="CB214" i="13"/>
  <c r="BY217" i="13"/>
  <c r="CB217" i="13"/>
  <c r="BZ217" i="13"/>
  <c r="BY123" i="13"/>
  <c r="BZ123" i="13"/>
  <c r="CB123" i="13"/>
  <c r="BY221" i="13"/>
  <c r="BZ221" i="13"/>
  <c r="CB221" i="13"/>
  <c r="BY67" i="13"/>
  <c r="CB67" i="13"/>
  <c r="BZ67" i="13"/>
  <c r="BY152" i="13"/>
  <c r="CB152" i="13"/>
  <c r="BZ152" i="13"/>
  <c r="BY166" i="13"/>
  <c r="BZ166" i="13"/>
  <c r="CB166" i="13"/>
  <c r="BY222" i="13"/>
  <c r="BZ222" i="13"/>
  <c r="CB222" i="13"/>
  <c r="BY110" i="13"/>
  <c r="BZ110" i="13"/>
  <c r="CB110" i="13"/>
  <c r="BZ232" i="13"/>
  <c r="BY232" i="13"/>
  <c r="CB232" i="13"/>
  <c r="BY224" i="13"/>
  <c r="BZ224" i="13"/>
  <c r="CB224" i="13"/>
  <c r="BY218" i="13"/>
  <c r="BZ218" i="13"/>
  <c r="CB218" i="13"/>
  <c r="BY231" i="13"/>
  <c r="BZ231" i="13"/>
  <c r="CB231" i="13"/>
  <c r="BY225" i="13"/>
  <c r="CB225" i="13"/>
  <c r="BZ225" i="13"/>
  <c r="BZ219" i="13"/>
  <c r="BY219" i="13"/>
  <c r="CB219" i="13"/>
  <c r="BY34" i="13"/>
  <c r="CB34" i="13"/>
  <c r="BZ34" i="13"/>
  <c r="BY215" i="13"/>
  <c r="BZ215" i="13"/>
  <c r="CB215" i="13"/>
  <c r="BY197" i="13"/>
  <c r="BZ197" i="13"/>
  <c r="CB197" i="13"/>
  <c r="BY220" i="13"/>
  <c r="BZ220" i="13"/>
  <c r="CB220" i="13"/>
  <c r="BY111" i="13"/>
  <c r="CB111" i="13"/>
  <c r="BZ111" i="13"/>
  <c r="CB66" i="13"/>
  <c r="BY66" i="13"/>
  <c r="BZ66" i="13"/>
  <c r="BY37" i="13"/>
  <c r="BZ37" i="13"/>
  <c r="CB37" i="13"/>
  <c r="BY36" i="13"/>
  <c r="CB36" i="13"/>
  <c r="BZ36" i="13"/>
  <c r="BZ223" i="13"/>
  <c r="CB223" i="13"/>
  <c r="BY223" i="13"/>
  <c r="F214" i="5"/>
  <c r="F95" i="16"/>
  <c r="I95" i="16" s="1"/>
  <c r="F20" i="16"/>
  <c r="I20" i="16" s="1"/>
  <c r="F47" i="16"/>
  <c r="I47" i="16" s="1"/>
  <c r="F217" i="5"/>
  <c r="F101" i="16"/>
  <c r="I101" i="16" s="1"/>
  <c r="F48" i="16"/>
  <c r="I48" i="16" s="1"/>
  <c r="F13" i="16"/>
  <c r="I13" i="16" s="1"/>
  <c r="F88" i="16"/>
  <c r="I88" i="16" s="1"/>
  <c r="BI96" i="13"/>
  <c r="BJ96" i="13" s="1"/>
  <c r="BF96" i="13"/>
  <c r="BG96" i="13" s="1"/>
  <c r="F39" i="16"/>
  <c r="I39" i="16" s="1"/>
  <c r="F38" i="16"/>
  <c r="I38" i="16" s="1"/>
  <c r="F99" i="16"/>
  <c r="I99" i="16" s="1"/>
  <c r="F215" i="5"/>
  <c r="F23" i="16"/>
  <c r="I23" i="16" s="1"/>
  <c r="F46" i="16"/>
  <c r="I46" i="16" s="1"/>
  <c r="BC155" i="13"/>
  <c r="BD155" i="13" s="1"/>
  <c r="F69" i="16"/>
  <c r="I69" i="16" s="1"/>
  <c r="AJ249" i="13" l="1"/>
  <c r="BI145" i="13" s="1"/>
  <c r="AI249" i="13"/>
  <c r="BF145" i="13" s="1"/>
  <c r="AH249" i="13"/>
  <c r="BC145" i="13" s="1"/>
  <c r="BC249" i="13" s="1"/>
  <c r="BD249" i="13" s="1"/>
  <c r="AY145" i="13"/>
  <c r="AZ145" i="13"/>
  <c r="Z77" i="13"/>
  <c r="AA77" i="13" s="1"/>
  <c r="T75" i="13"/>
  <c r="Z75" i="13" s="1"/>
  <c r="BI23" i="13"/>
  <c r="BJ23" i="13" s="1"/>
  <c r="W24" i="5" s="1"/>
  <c r="V24" i="21" s="1"/>
  <c r="BS23" i="13"/>
  <c r="BC23" i="13"/>
  <c r="BD23" i="13" s="1"/>
  <c r="BQ23" i="13"/>
  <c r="BF23" i="13"/>
  <c r="BG23" i="13" s="1"/>
  <c r="P24" i="5" s="1"/>
  <c r="O24" i="21" s="1"/>
  <c r="BR23" i="13"/>
  <c r="T219" i="13"/>
  <c r="AA235" i="13"/>
  <c r="H201" i="21"/>
  <c r="H204" i="21"/>
  <c r="H112" i="21"/>
  <c r="F104" i="5"/>
  <c r="AC104" i="5" s="1"/>
  <c r="AH253" i="13"/>
  <c r="BQ253" i="13" s="1"/>
  <c r="AI253" i="13"/>
  <c r="BR253" i="13" s="1"/>
  <c r="AJ253" i="13"/>
  <c r="BS253" i="13" s="1"/>
  <c r="BR145" i="13"/>
  <c r="BS145" i="13"/>
  <c r="BA114" i="13"/>
  <c r="BQ145" i="13"/>
  <c r="H196" i="21"/>
  <c r="V196" i="21"/>
  <c r="O196" i="21"/>
  <c r="V180" i="21"/>
  <c r="O180" i="21"/>
  <c r="H162" i="21"/>
  <c r="H117" i="21"/>
  <c r="H195" i="21"/>
  <c r="H107" i="21"/>
  <c r="V195" i="21"/>
  <c r="V117" i="21"/>
  <c r="O195" i="21"/>
  <c r="H193" i="21"/>
  <c r="H98" i="21"/>
  <c r="H99" i="21"/>
  <c r="O98" i="21"/>
  <c r="O99" i="21"/>
  <c r="H94" i="21"/>
  <c r="H95" i="21"/>
  <c r="V98" i="21"/>
  <c r="V99" i="21"/>
  <c r="O117" i="21"/>
  <c r="AI94" i="13"/>
  <c r="AI93" i="13" s="1"/>
  <c r="AJ94" i="13"/>
  <c r="AJ93" i="13" s="1"/>
  <c r="F80" i="5"/>
  <c r="AC80" i="5" s="1"/>
  <c r="AH94" i="13"/>
  <c r="AH93" i="13" s="1"/>
  <c r="AJ84" i="13"/>
  <c r="AJ83" i="13" s="1"/>
  <c r="AH84" i="13"/>
  <c r="AH83" i="13" s="1"/>
  <c r="AI84" i="13"/>
  <c r="AI83" i="13" s="1"/>
  <c r="BF72" i="13"/>
  <c r="BG72" i="13" s="1"/>
  <c r="P68" i="5" s="1"/>
  <c r="O68" i="21" s="1"/>
  <c r="BR72" i="13"/>
  <c r="BI72" i="13"/>
  <c r="BJ72" i="13" s="1"/>
  <c r="W68" i="5" s="1"/>
  <c r="V68" i="21" s="1"/>
  <c r="BS72" i="13"/>
  <c r="BC72" i="13"/>
  <c r="BD72" i="13" s="1"/>
  <c r="I68" i="5" s="1"/>
  <c r="H68" i="21" s="1"/>
  <c r="BQ72" i="13"/>
  <c r="E12" i="21"/>
  <c r="AE12" i="21" s="1"/>
  <c r="AC84" i="5"/>
  <c r="AC67" i="5"/>
  <c r="E67" i="21"/>
  <c r="AE67" i="21" s="1"/>
  <c r="AC166" i="5"/>
  <c r="AC56" i="5"/>
  <c r="E56" i="21"/>
  <c r="AE56" i="21" s="1"/>
  <c r="AC171" i="5"/>
  <c r="E168" i="21"/>
  <c r="AE168" i="21" s="1"/>
  <c r="AC53" i="5"/>
  <c r="E53" i="21"/>
  <c r="AE53" i="21" s="1"/>
  <c r="AC24" i="5"/>
  <c r="E24" i="21"/>
  <c r="AE24" i="21" s="1"/>
  <c r="AC188" i="5"/>
  <c r="AC150" i="5"/>
  <c r="AC55" i="5"/>
  <c r="E55" i="21"/>
  <c r="AE55" i="21" s="1"/>
  <c r="AC48" i="5"/>
  <c r="E48" i="21"/>
  <c r="AE48" i="21" s="1"/>
  <c r="AC43" i="5"/>
  <c r="E43" i="21"/>
  <c r="AE43" i="21" s="1"/>
  <c r="AC119" i="5"/>
  <c r="AC167" i="5"/>
  <c r="AC95" i="5"/>
  <c r="AC211" i="5"/>
  <c r="AC175" i="5"/>
  <c r="AC187" i="5"/>
  <c r="AE184" i="21"/>
  <c r="AC122" i="5"/>
  <c r="AC75" i="5"/>
  <c r="AC16" i="5"/>
  <c r="E16" i="21"/>
  <c r="AE16" i="21" s="1"/>
  <c r="AC105" i="5"/>
  <c r="AC66" i="5"/>
  <c r="E66" i="21"/>
  <c r="AE66" i="21" s="1"/>
  <c r="AC88" i="5"/>
  <c r="AC130" i="5"/>
  <c r="AC126" i="5"/>
  <c r="AC223" i="5"/>
  <c r="AC178" i="5"/>
  <c r="AC111" i="5"/>
  <c r="E110" i="21"/>
  <c r="AE110" i="21" s="1"/>
  <c r="AC143" i="5"/>
  <c r="AF99" i="21"/>
  <c r="H50" i="21"/>
  <c r="AC177" i="5"/>
  <c r="AC110" i="5"/>
  <c r="AC132" i="5"/>
  <c r="E131" i="21"/>
  <c r="AE131" i="21" s="1"/>
  <c r="AC179" i="5"/>
  <c r="AC109" i="5"/>
  <c r="AC189" i="5"/>
  <c r="AC170" i="5"/>
  <c r="E167" i="21"/>
  <c r="AE167" i="21" s="1"/>
  <c r="AC28" i="5"/>
  <c r="E28" i="21"/>
  <c r="AE28" i="21" s="1"/>
  <c r="AC124" i="5"/>
  <c r="AC133" i="5"/>
  <c r="AE132" i="21"/>
  <c r="AC149" i="5"/>
  <c r="AE146" i="21"/>
  <c r="AC213" i="5"/>
  <c r="AC217" i="5"/>
  <c r="E214" i="21"/>
  <c r="AE214" i="21" s="1"/>
  <c r="AC216" i="5"/>
  <c r="AC173" i="5"/>
  <c r="AC58" i="5"/>
  <c r="E58" i="21"/>
  <c r="AE58" i="21" s="1"/>
  <c r="AC14" i="5"/>
  <c r="E14" i="21"/>
  <c r="AE14" i="21" s="1"/>
  <c r="AC19" i="5"/>
  <c r="E19" i="21"/>
  <c r="AE19" i="21" s="1"/>
  <c r="AC49" i="5"/>
  <c r="E49" i="21"/>
  <c r="AE49" i="21" s="1"/>
  <c r="AC34" i="5"/>
  <c r="E34" i="21"/>
  <c r="AE34" i="21" s="1"/>
  <c r="AC138" i="5"/>
  <c r="AC41" i="5"/>
  <c r="E41" i="21"/>
  <c r="AE41" i="21" s="1"/>
  <c r="AC128" i="5"/>
  <c r="AC23" i="5"/>
  <c r="E23" i="21"/>
  <c r="AE23" i="21" s="1"/>
  <c r="AC202" i="5"/>
  <c r="AC137" i="5"/>
  <c r="AC134" i="5"/>
  <c r="E133" i="21"/>
  <c r="AE133" i="21" s="1"/>
  <c r="AC59" i="5"/>
  <c r="E59" i="21"/>
  <c r="AE59" i="21" s="1"/>
  <c r="AC107" i="5"/>
  <c r="AC219" i="5"/>
  <c r="E216" i="21"/>
  <c r="AE216" i="21" s="1"/>
  <c r="AC120" i="5"/>
  <c r="E119" i="21"/>
  <c r="AE119" i="21" s="1"/>
  <c r="AC52" i="5"/>
  <c r="E52" i="21"/>
  <c r="AE52" i="21" s="1"/>
  <c r="AC22" i="5"/>
  <c r="E22" i="21"/>
  <c r="AE22" i="21" s="1"/>
  <c r="AC30" i="5"/>
  <c r="E30" i="21"/>
  <c r="AE30" i="21" s="1"/>
  <c r="AC184" i="5"/>
  <c r="AC181" i="5"/>
  <c r="E178" i="21"/>
  <c r="AE178" i="21" s="1"/>
  <c r="AC168" i="5"/>
  <c r="AC44" i="5"/>
  <c r="E44" i="21"/>
  <c r="AE44" i="21" s="1"/>
  <c r="AC151" i="5"/>
  <c r="AC21" i="5"/>
  <c r="E21" i="21"/>
  <c r="AE21" i="21" s="1"/>
  <c r="AC29" i="5"/>
  <c r="E29" i="21"/>
  <c r="AE29" i="21" s="1"/>
  <c r="AC139" i="5"/>
  <c r="E137" i="21"/>
  <c r="AE137" i="21" s="1"/>
  <c r="AC221" i="5"/>
  <c r="AC42" i="5"/>
  <c r="E42" i="21"/>
  <c r="AE42" i="21" s="1"/>
  <c r="AC13" i="5"/>
  <c r="E13" i="21"/>
  <c r="AE13" i="21" s="1"/>
  <c r="AC25" i="5"/>
  <c r="E25" i="21"/>
  <c r="AE25" i="21" s="1"/>
  <c r="AC141" i="5"/>
  <c r="E139" i="21"/>
  <c r="AE139" i="21" s="1"/>
  <c r="AC113" i="5"/>
  <c r="AC90" i="5"/>
  <c r="AC154" i="5"/>
  <c r="AE151" i="21"/>
  <c r="AG11" i="21"/>
  <c r="AA217" i="21"/>
  <c r="Z219" i="13"/>
  <c r="AA219" i="13" s="1"/>
  <c r="AA231" i="13" s="1"/>
  <c r="AA75" i="13"/>
  <c r="F74" i="5"/>
  <c r="E75" i="21" s="1"/>
  <c r="AE75" i="21" s="1"/>
  <c r="AH77" i="13"/>
  <c r="AJ77" i="13"/>
  <c r="AI77" i="13"/>
  <c r="AH41" i="13"/>
  <c r="AI205" i="13"/>
  <c r="AH205" i="13"/>
  <c r="AJ205" i="13"/>
  <c r="AH89" i="13"/>
  <c r="AJ89" i="13"/>
  <c r="AI89" i="13"/>
  <c r="AI140" i="13"/>
  <c r="AI143" i="13"/>
  <c r="AI142" i="13"/>
  <c r="BF142" i="13" s="1"/>
  <c r="BG142" i="13" s="1"/>
  <c r="P133" i="5" s="1"/>
  <c r="O133" i="21" s="1"/>
  <c r="AI141" i="13"/>
  <c r="AJ140" i="13"/>
  <c r="AJ143" i="13"/>
  <c r="AJ142" i="13"/>
  <c r="BI142" i="13" s="1"/>
  <c r="BJ142" i="13" s="1"/>
  <c r="W133" i="5" s="1"/>
  <c r="V133" i="21" s="1"/>
  <c r="AJ141" i="13"/>
  <c r="AJ225" i="13"/>
  <c r="BS225" i="13" s="1"/>
  <c r="AI225" i="13"/>
  <c r="BR225" i="13" s="1"/>
  <c r="AH225" i="13"/>
  <c r="BQ225" i="13" s="1"/>
  <c r="AH141" i="13"/>
  <c r="AH140" i="13"/>
  <c r="AH143" i="13"/>
  <c r="AH142" i="13"/>
  <c r="BC142" i="13" s="1"/>
  <c r="BD142" i="13" s="1"/>
  <c r="I133" i="5" s="1"/>
  <c r="H133" i="21" s="1"/>
  <c r="AI227" i="13"/>
  <c r="AJ227" i="13"/>
  <c r="AH227" i="13"/>
  <c r="AJ217" i="13"/>
  <c r="AH217" i="13"/>
  <c r="AI217" i="13"/>
  <c r="AI80" i="13"/>
  <c r="AH80" i="13"/>
  <c r="AJ80" i="13"/>
  <c r="AI186" i="13"/>
  <c r="AI185" i="13"/>
  <c r="AH229" i="13"/>
  <c r="AI229" i="13"/>
  <c r="AJ229" i="13"/>
  <c r="AH212" i="13"/>
  <c r="AJ212" i="13"/>
  <c r="AI212" i="13"/>
  <c r="AJ186" i="13"/>
  <c r="AJ185" i="13"/>
  <c r="AH170" i="13"/>
  <c r="AJ170" i="13"/>
  <c r="AI170" i="13"/>
  <c r="AI165" i="13"/>
  <c r="AI164" i="13" s="1"/>
  <c r="AJ165" i="13"/>
  <c r="AJ164" i="13" s="1"/>
  <c r="AH165" i="13"/>
  <c r="AH164" i="13" s="1"/>
  <c r="AH186" i="13"/>
  <c r="AH185" i="13"/>
  <c r="AJ182" i="13"/>
  <c r="AJ181" i="13"/>
  <c r="AH182" i="13"/>
  <c r="AH181" i="13"/>
  <c r="AI174" i="13"/>
  <c r="BR174" i="13" s="1"/>
  <c r="AI173" i="13"/>
  <c r="AI206" i="13"/>
  <c r="AH206" i="13"/>
  <c r="AJ206" i="13"/>
  <c r="AI181" i="13"/>
  <c r="AI182" i="13"/>
  <c r="AJ174" i="13"/>
  <c r="BS174" i="13" s="1"/>
  <c r="AJ173" i="13"/>
  <c r="AI41" i="13"/>
  <c r="AH174" i="13"/>
  <c r="BQ174" i="13" s="1"/>
  <c r="AH173" i="13"/>
  <c r="AI91" i="13"/>
  <c r="AH91" i="13"/>
  <c r="AJ91" i="13"/>
  <c r="AH92" i="13"/>
  <c r="AI92" i="13"/>
  <c r="AJ92" i="13"/>
  <c r="I257" i="5"/>
  <c r="BJ308" i="13"/>
  <c r="F64" i="16"/>
  <c r="I64" i="16" s="1"/>
  <c r="F97" i="5"/>
  <c r="E98" i="21" s="1"/>
  <c r="AE98" i="21" s="1"/>
  <c r="F60" i="5"/>
  <c r="F85" i="5"/>
  <c r="F81" i="16"/>
  <c r="I81" i="16" s="1"/>
  <c r="K22" i="3"/>
  <c r="F21" i="16"/>
  <c r="I21" i="16" s="1"/>
  <c r="F158" i="5"/>
  <c r="E158" i="21" s="1"/>
  <c r="AE158" i="21" s="1"/>
  <c r="F82" i="16"/>
  <c r="I82" i="16" s="1"/>
  <c r="F80" i="16"/>
  <c r="I80" i="16" s="1"/>
  <c r="F155" i="5"/>
  <c r="E155" i="21" s="1"/>
  <c r="AL91" i="13"/>
  <c r="AX91" i="13" s="1"/>
  <c r="AA90" i="13"/>
  <c r="K21" i="3"/>
  <c r="BH308" i="13"/>
  <c r="BJ301" i="13"/>
  <c r="BI308" i="13"/>
  <c r="F32" i="5"/>
  <c r="F44" i="16"/>
  <c r="I44" i="16" s="1"/>
  <c r="F24" i="16"/>
  <c r="I24" i="16" s="1"/>
  <c r="F63" i="16"/>
  <c r="I63" i="16" s="1"/>
  <c r="AH189" i="13"/>
  <c r="AJ189" i="13"/>
  <c r="AI189" i="13"/>
  <c r="F61" i="5"/>
  <c r="AJ63" i="13"/>
  <c r="AI63" i="13"/>
  <c r="AH63" i="13"/>
  <c r="F87" i="5"/>
  <c r="E88" i="21" s="1"/>
  <c r="AE88" i="21" s="1"/>
  <c r="F33" i="5"/>
  <c r="BI32" i="13"/>
  <c r="BF32" i="13"/>
  <c r="BC32" i="13"/>
  <c r="F26" i="5"/>
  <c r="BI25" i="13"/>
  <c r="BF25" i="13"/>
  <c r="BC25" i="13"/>
  <c r="AI192" i="13"/>
  <c r="F123" i="5"/>
  <c r="E123" i="21" s="1"/>
  <c r="AE123" i="21" s="1"/>
  <c r="AJ130" i="13"/>
  <c r="AI130" i="13"/>
  <c r="BS149" i="13"/>
  <c r="BR149" i="13"/>
  <c r="BQ149" i="13"/>
  <c r="F73" i="5"/>
  <c r="F71" i="5"/>
  <c r="BI11" i="13"/>
  <c r="BJ11" i="13" s="1"/>
  <c r="W12" i="5" s="1"/>
  <c r="V12" i="21" s="1"/>
  <c r="BF11" i="13"/>
  <c r="BG11" i="13" s="1"/>
  <c r="P12" i="5" s="1"/>
  <c r="O12" i="21" s="1"/>
  <c r="F83" i="5"/>
  <c r="E84" i="21" s="1"/>
  <c r="AE84" i="21" s="1"/>
  <c r="F127" i="5"/>
  <c r="E127" i="21" s="1"/>
  <c r="AE127" i="21" s="1"/>
  <c r="AH134" i="13"/>
  <c r="AJ134" i="13"/>
  <c r="AI134" i="13"/>
  <c r="F51" i="5"/>
  <c r="F18" i="5"/>
  <c r="AH16" i="13"/>
  <c r="BI157" i="13"/>
  <c r="BJ157" i="13" s="1"/>
  <c r="W150" i="5" s="1"/>
  <c r="V150" i="21" s="1"/>
  <c r="BF157" i="13"/>
  <c r="BG157" i="13" s="1"/>
  <c r="P150" i="5" s="1"/>
  <c r="O150" i="21" s="1"/>
  <c r="BC157" i="13"/>
  <c r="BD157" i="13" s="1"/>
  <c r="I150" i="5" s="1"/>
  <c r="H150" i="21" s="1"/>
  <c r="AJ56" i="13"/>
  <c r="AI56" i="13"/>
  <c r="AH56" i="13"/>
  <c r="F15" i="5"/>
  <c r="BI29" i="13"/>
  <c r="BJ29" i="13" s="1"/>
  <c r="W30" i="5" s="1"/>
  <c r="V30" i="21" s="1"/>
  <c r="BF29" i="13"/>
  <c r="BC29" i="13"/>
  <c r="BD29" i="13" s="1"/>
  <c r="I30" i="5" s="1"/>
  <c r="H30" i="21" s="1"/>
  <c r="F96" i="5"/>
  <c r="BC102" i="13"/>
  <c r="BD102" i="13" s="1"/>
  <c r="I96" i="5" s="1"/>
  <c r="BI102" i="13"/>
  <c r="BJ102" i="13" s="1"/>
  <c r="W96" i="5" s="1"/>
  <c r="BF102" i="13"/>
  <c r="BG102" i="13" s="1"/>
  <c r="P96" i="5" s="1"/>
  <c r="F68" i="5"/>
  <c r="F174" i="5"/>
  <c r="E174" i="21" s="1"/>
  <c r="AE174" i="21" s="1"/>
  <c r="F156" i="5"/>
  <c r="E156" i="21" s="1"/>
  <c r="AJ162" i="13"/>
  <c r="AI162" i="13"/>
  <c r="AH162" i="13"/>
  <c r="BS114" i="13"/>
  <c r="BR114" i="13"/>
  <c r="BQ114" i="13"/>
  <c r="F70" i="5"/>
  <c r="E70" i="21" s="1"/>
  <c r="BC73" i="13"/>
  <c r="BS73" i="13"/>
  <c r="BF73" i="13"/>
  <c r="F99" i="5"/>
  <c r="AJ103" i="13"/>
  <c r="AI103" i="13"/>
  <c r="AH103" i="13"/>
  <c r="F81" i="5"/>
  <c r="BD234" i="13"/>
  <c r="I39" i="5" s="1"/>
  <c r="H39" i="21" s="1"/>
  <c r="BG234" i="13"/>
  <c r="P39" i="5" s="1"/>
  <c r="O39" i="21" s="1"/>
  <c r="BJ251" i="13"/>
  <c r="W164" i="5" s="1"/>
  <c r="BG251" i="13"/>
  <c r="P164" i="5" s="1"/>
  <c r="F106" i="5"/>
  <c r="E106" i="21" s="1"/>
  <c r="AE106" i="21" s="1"/>
  <c r="BD251" i="13"/>
  <c r="I164" i="5" s="1"/>
  <c r="F53" i="16"/>
  <c r="I53" i="16" s="1"/>
  <c r="BI163" i="13"/>
  <c r="BJ163" i="13" s="1"/>
  <c r="W156" i="5" s="1"/>
  <c r="V156" i="21" s="1"/>
  <c r="BF151" i="13"/>
  <c r="BG151" i="13" s="1"/>
  <c r="P143" i="5" s="1"/>
  <c r="F172" i="5"/>
  <c r="E172" i="21" s="1"/>
  <c r="AE172" i="21" s="1"/>
  <c r="F65" i="5"/>
  <c r="F29" i="16"/>
  <c r="I29" i="16" s="1"/>
  <c r="F78" i="16"/>
  <c r="I78" i="16" s="1"/>
  <c r="F57" i="5"/>
  <c r="F22" i="16"/>
  <c r="I22" i="16" s="1"/>
  <c r="BI150" i="13"/>
  <c r="BJ150" i="13" s="1"/>
  <c r="W142" i="5" s="1"/>
  <c r="BC150" i="13"/>
  <c r="BD150" i="13" s="1"/>
  <c r="I142" i="5" s="1"/>
  <c r="BC151" i="13"/>
  <c r="BD151" i="13" s="1"/>
  <c r="I143" i="5" s="1"/>
  <c r="BC163" i="13"/>
  <c r="F125" i="5"/>
  <c r="E125" i="21" s="1"/>
  <c r="AE125" i="21" s="1"/>
  <c r="F121" i="5"/>
  <c r="E121" i="21" s="1"/>
  <c r="AE121" i="21" s="1"/>
  <c r="F40" i="5"/>
  <c r="F129" i="5"/>
  <c r="E130" i="21" s="1"/>
  <c r="AE130" i="21" s="1"/>
  <c r="F220" i="5"/>
  <c r="E220" i="21" s="1"/>
  <c r="AE220" i="21" s="1"/>
  <c r="F180" i="5"/>
  <c r="E180" i="21" s="1"/>
  <c r="AE180" i="21" s="1"/>
  <c r="F182" i="5"/>
  <c r="F19" i="16"/>
  <c r="I19" i="16" s="1"/>
  <c r="F50" i="5"/>
  <c r="F54" i="5"/>
  <c r="F76" i="16"/>
  <c r="I76" i="16" s="1"/>
  <c r="F165" i="5"/>
  <c r="E165" i="21" s="1"/>
  <c r="AE165" i="21" s="1"/>
  <c r="F108" i="5"/>
  <c r="E109" i="21" s="1"/>
  <c r="AE109" i="21" s="1"/>
  <c r="F185" i="5"/>
  <c r="F169" i="5"/>
  <c r="E170" i="21" s="1"/>
  <c r="AE170" i="21" s="1"/>
  <c r="F140" i="5"/>
  <c r="E140" i="21" s="1"/>
  <c r="AE140" i="21" s="1"/>
  <c r="AI144" i="13"/>
  <c r="BS188" i="13"/>
  <c r="BH296" i="13"/>
  <c r="F12" i="16"/>
  <c r="I12" i="16" s="1"/>
  <c r="BJ296" i="13"/>
  <c r="BQ188" i="13"/>
  <c r="BI296" i="13"/>
  <c r="F54" i="16"/>
  <c r="I54" i="16" s="1"/>
  <c r="AA123" i="13"/>
  <c r="AJ144" i="13"/>
  <c r="AH130" i="13"/>
  <c r="BI156" i="13"/>
  <c r="BJ156" i="13" s="1"/>
  <c r="W149" i="5" s="1"/>
  <c r="F9" i="16"/>
  <c r="I9" i="16" s="1"/>
  <c r="F20" i="5"/>
  <c r="F11" i="5"/>
  <c r="AC11" i="5" s="1"/>
  <c r="AC243" i="5" s="1"/>
  <c r="BF150" i="13"/>
  <c r="BG150" i="13" s="1"/>
  <c r="P142" i="5" s="1"/>
  <c r="BC156" i="13"/>
  <c r="BD156" i="13" s="1"/>
  <c r="I149" i="5" s="1"/>
  <c r="F17" i="5"/>
  <c r="BI151" i="13"/>
  <c r="F11" i="16"/>
  <c r="I11" i="16" s="1"/>
  <c r="F31" i="5"/>
  <c r="AH144" i="13"/>
  <c r="I11" i="5"/>
  <c r="BC161" i="13"/>
  <c r="BD161" i="13" s="1"/>
  <c r="I154" i="5" s="1"/>
  <c r="H154" i="21" s="1"/>
  <c r="BC188" i="13"/>
  <c r="BD188" i="13" s="1"/>
  <c r="I181" i="5" s="1"/>
  <c r="AA86" i="13"/>
  <c r="AA164" i="13"/>
  <c r="F218" i="5"/>
  <c r="E218" i="21" s="1"/>
  <c r="AE218" i="21" s="1"/>
  <c r="F60" i="16"/>
  <c r="I60" i="16" s="1"/>
  <c r="BI188" i="13"/>
  <c r="BJ188" i="13" s="1"/>
  <c r="W181" i="5" s="1"/>
  <c r="BF188" i="13"/>
  <c r="BG188" i="13" s="1"/>
  <c r="P181" i="5" s="1"/>
  <c r="BI161" i="13"/>
  <c r="BJ161" i="13" s="1"/>
  <c r="W154" i="5" s="1"/>
  <c r="V154" i="21" s="1"/>
  <c r="BF161" i="13"/>
  <c r="BG161" i="13" s="1"/>
  <c r="P154" i="5" s="1"/>
  <c r="O154" i="21" s="1"/>
  <c r="AH59" i="13"/>
  <c r="BR188" i="13"/>
  <c r="BF156" i="13"/>
  <c r="BS158" i="13"/>
  <c r="BI158" i="13"/>
  <c r="BF158" i="13"/>
  <c r="BR158" i="13"/>
  <c r="BC158" i="13"/>
  <c r="I256" i="5" a="1"/>
  <c r="I256" i="5" s="1"/>
  <c r="BQ158" i="13"/>
  <c r="BI22" i="13"/>
  <c r="BS22" i="13"/>
  <c r="BF22" i="13"/>
  <c r="BR22" i="13"/>
  <c r="BI12" i="13"/>
  <c r="BS12" i="13"/>
  <c r="BC12" i="13"/>
  <c r="BQ12" i="13"/>
  <c r="BF12" i="13"/>
  <c r="BR12" i="13"/>
  <c r="BF238" i="13"/>
  <c r="BG238" i="13" s="1"/>
  <c r="P122" i="5" s="1"/>
  <c r="O122" i="21" s="1"/>
  <c r="BC238" i="13"/>
  <c r="BD238" i="13" s="1"/>
  <c r="I122" i="5" s="1"/>
  <c r="H122" i="21" s="1"/>
  <c r="BI238" i="13"/>
  <c r="BJ238" i="13" s="1"/>
  <c r="W122" i="5" s="1"/>
  <c r="V122" i="21" s="1"/>
  <c r="BC22" i="13"/>
  <c r="BQ22" i="13"/>
  <c r="F61" i="16"/>
  <c r="I61" i="16" s="1"/>
  <c r="AA210" i="13"/>
  <c r="Y204" i="13"/>
  <c r="Z81" i="13"/>
  <c r="AA81" i="13" s="1"/>
  <c r="F77" i="16"/>
  <c r="AH192" i="13"/>
  <c r="AJ192" i="13"/>
  <c r="I243" i="5"/>
  <c r="BD239" i="13"/>
  <c r="I244" i="5" s="1"/>
  <c r="BG239" i="13"/>
  <c r="P126" i="5" s="1"/>
  <c r="O126" i="21" s="1"/>
  <c r="BJ239" i="13"/>
  <c r="W126" i="5" s="1"/>
  <c r="V126" i="21" s="1"/>
  <c r="F62" i="16"/>
  <c r="I62" i="16" s="1"/>
  <c r="AA152" i="13"/>
  <c r="BD244" i="13"/>
  <c r="I177" i="5" s="1"/>
  <c r="BD243" i="13"/>
  <c r="I252" i="5" s="1"/>
  <c r="BD242" i="13"/>
  <c r="I250" i="5" s="1"/>
  <c r="BD241" i="13"/>
  <c r="I166" i="5" s="1"/>
  <c r="BG244" i="13"/>
  <c r="P177" i="5" s="1"/>
  <c r="BG243" i="13"/>
  <c r="P173" i="5" s="1"/>
  <c r="BG241" i="13"/>
  <c r="P166" i="5" s="1"/>
  <c r="BJ244" i="13"/>
  <c r="W177" i="5" s="1"/>
  <c r="BJ243" i="13"/>
  <c r="W173" i="5" s="1"/>
  <c r="BJ241" i="13"/>
  <c r="W166" i="5" s="1"/>
  <c r="BJ240" i="13"/>
  <c r="W130" i="5" s="1"/>
  <c r="V130" i="21" s="1"/>
  <c r="BG240" i="13"/>
  <c r="P130" i="5" s="1"/>
  <c r="O130" i="21" s="1"/>
  <c r="BD240" i="13"/>
  <c r="I130" i="5" s="1"/>
  <c r="H130" i="21" s="1"/>
  <c r="BJ236" i="13"/>
  <c r="W55" i="5" s="1"/>
  <c r="V55" i="21" s="1"/>
  <c r="BG236" i="13"/>
  <c r="P55" i="5" s="1"/>
  <c r="O55" i="21" s="1"/>
  <c r="BD236" i="13"/>
  <c r="I55" i="5" s="1"/>
  <c r="H55" i="21" s="1"/>
  <c r="AA204" i="13"/>
  <c r="F163" i="5"/>
  <c r="AA169" i="13"/>
  <c r="F8" i="16"/>
  <c r="I8" i="16" s="1"/>
  <c r="AA39" i="13"/>
  <c r="F199" i="5"/>
  <c r="F200" i="5"/>
  <c r="BG15" i="13"/>
  <c r="BG27" i="13"/>
  <c r="P28" i="5" s="1"/>
  <c r="O28" i="21" s="1"/>
  <c r="BJ27" i="13"/>
  <c r="W28" i="5" s="1"/>
  <c r="V28" i="21" s="1"/>
  <c r="BD27" i="13"/>
  <c r="I28" i="5" s="1"/>
  <c r="H28" i="21" s="1"/>
  <c r="BJ15" i="13"/>
  <c r="W16" i="5" s="1"/>
  <c r="F205" i="5"/>
  <c r="E205" i="21" s="1"/>
  <c r="AE205" i="21" s="1"/>
  <c r="AA201" i="13"/>
  <c r="F77" i="5"/>
  <c r="BC128" i="13"/>
  <c r="BF128" i="13"/>
  <c r="BI128" i="13"/>
  <c r="BD15" i="13"/>
  <c r="I16" i="5" s="1"/>
  <c r="H16" i="21" s="1"/>
  <c r="AH19" i="13"/>
  <c r="F52" i="16"/>
  <c r="I52" i="16" s="1"/>
  <c r="F103" i="5"/>
  <c r="AH155" i="13"/>
  <c r="AJ155" i="13"/>
  <c r="AI19" i="13"/>
  <c r="AH117" i="13"/>
  <c r="F7" i="16"/>
  <c r="I7" i="16" s="1"/>
  <c r="AA36" i="13"/>
  <c r="C36" i="11" s="1"/>
  <c r="AH126" i="13"/>
  <c r="F10" i="16"/>
  <c r="I10" i="16" s="1"/>
  <c r="Z197" i="13"/>
  <c r="Z214" i="13"/>
  <c r="AJ117" i="13"/>
  <c r="AI126" i="13"/>
  <c r="AI117" i="13"/>
  <c r="AJ126" i="13"/>
  <c r="BD223" i="13"/>
  <c r="I216" i="5" s="1"/>
  <c r="BD220" i="13"/>
  <c r="I213" i="5" s="1"/>
  <c r="BD69" i="13"/>
  <c r="I65" i="5" s="1"/>
  <c r="H65" i="21" s="1"/>
  <c r="BF222" i="13"/>
  <c r="BG222" i="13" s="1"/>
  <c r="P215" i="5" s="1"/>
  <c r="BC221" i="13"/>
  <c r="BF220" i="13"/>
  <c r="BG220" i="13" s="1"/>
  <c r="P213" i="5" s="1"/>
  <c r="BF226" i="13"/>
  <c r="BG226" i="13" s="1"/>
  <c r="P219" i="5" s="1"/>
  <c r="BC226" i="13"/>
  <c r="BI222" i="13"/>
  <c r="BJ222" i="13" s="1"/>
  <c r="W215" i="5" s="1"/>
  <c r="BF218" i="13"/>
  <c r="BG218" i="13" s="1"/>
  <c r="P211" i="5" s="1"/>
  <c r="BI229" i="13"/>
  <c r="BJ229" i="13" s="1"/>
  <c r="W222" i="5" s="1"/>
  <c r="V222" i="21" s="1"/>
  <c r="BI218" i="13"/>
  <c r="BJ218" i="13" s="1"/>
  <c r="W211" i="5" s="1"/>
  <c r="BI223" i="13"/>
  <c r="BJ223" i="13" s="1"/>
  <c r="W216" i="5" s="1"/>
  <c r="BF221" i="13"/>
  <c r="BG221" i="13" s="1"/>
  <c r="P214" i="5" s="1"/>
  <c r="BI221" i="13"/>
  <c r="BJ221" i="13" s="1"/>
  <c r="W214" i="5" s="1"/>
  <c r="BC218" i="13"/>
  <c r="BC225" i="13"/>
  <c r="BC224" i="13"/>
  <c r="BI220" i="13"/>
  <c r="BJ220" i="13" s="1"/>
  <c r="W213" i="5" s="1"/>
  <c r="BF223" i="13"/>
  <c r="BG223" i="13" s="1"/>
  <c r="P216" i="5" s="1"/>
  <c r="BI228" i="13"/>
  <c r="BJ228" i="13" s="1"/>
  <c r="W221" i="5" s="1"/>
  <c r="V221" i="21" s="1"/>
  <c r="BC228" i="13"/>
  <c r="BI224" i="13"/>
  <c r="BJ224" i="13" s="1"/>
  <c r="W217" i="5" s="1"/>
  <c r="BI225" i="13"/>
  <c r="BJ225" i="13" s="1"/>
  <c r="W218" i="5" s="1"/>
  <c r="BF224" i="13"/>
  <c r="BG224" i="13" s="1"/>
  <c r="P217" i="5" s="1"/>
  <c r="BF225" i="13"/>
  <c r="BG225" i="13" s="1"/>
  <c r="P218" i="5" s="1"/>
  <c r="BC222" i="13"/>
  <c r="F135" i="5"/>
  <c r="E136" i="21" s="1"/>
  <c r="AE136" i="21" s="1"/>
  <c r="F222" i="5"/>
  <c r="E222" i="21" s="1"/>
  <c r="AC214" i="5"/>
  <c r="AC215" i="5"/>
  <c r="F117" i="5"/>
  <c r="F176" i="5"/>
  <c r="E176" i="21" s="1"/>
  <c r="AE176" i="21" s="1"/>
  <c r="BI75" i="13"/>
  <c r="BJ75" i="13" s="1"/>
  <c r="W72" i="5" s="1"/>
  <c r="BF75" i="13"/>
  <c r="BG75" i="13" s="1"/>
  <c r="P72" i="5" s="1"/>
  <c r="BC75" i="13"/>
  <c r="BD75" i="13" s="1"/>
  <c r="BI46" i="13"/>
  <c r="BJ46" i="13" s="1"/>
  <c r="W45" i="5" s="1"/>
  <c r="V45" i="21" s="1"/>
  <c r="BC46" i="13"/>
  <c r="BC113" i="13"/>
  <c r="BI113" i="13"/>
  <c r="BF113" i="13"/>
  <c r="BI69" i="13"/>
  <c r="BJ69" i="13" s="1"/>
  <c r="W65" i="5" s="1"/>
  <c r="V65" i="21" s="1"/>
  <c r="BF69" i="13"/>
  <c r="BG69" i="13" s="1"/>
  <c r="P65" i="5" s="1"/>
  <c r="O65" i="21" s="1"/>
  <c r="F27" i="5"/>
  <c r="I31" i="5"/>
  <c r="I20" i="5"/>
  <c r="H20" i="21" s="1"/>
  <c r="AF14" i="21"/>
  <c r="I180" i="5"/>
  <c r="F212" i="5"/>
  <c r="E212" i="21" s="1"/>
  <c r="AE212" i="21" s="1"/>
  <c r="F79" i="16"/>
  <c r="I79" i="16" s="1"/>
  <c r="F59" i="16"/>
  <c r="I59" i="16" s="1"/>
  <c r="BC65" i="13"/>
  <c r="BC96" i="13"/>
  <c r="BD96" i="13" s="1"/>
  <c r="BF46" i="13"/>
  <c r="BG46" i="13" s="1"/>
  <c r="P45" i="5" s="1"/>
  <c r="O45" i="21" s="1"/>
  <c r="F210" i="5"/>
  <c r="E210" i="21" s="1"/>
  <c r="AE210" i="21" s="1"/>
  <c r="F94" i="16"/>
  <c r="I147" i="5"/>
  <c r="E104" i="21" l="1"/>
  <c r="AE104" i="21" s="1"/>
  <c r="AH235" i="13"/>
  <c r="BC235" i="13" s="1"/>
  <c r="AJ235" i="13"/>
  <c r="BI235" i="13" s="1"/>
  <c r="F234" i="5"/>
  <c r="AI235" i="13"/>
  <c r="BF235" i="13" s="1"/>
  <c r="F46" i="5"/>
  <c r="E135" i="21"/>
  <c r="AE135" i="21" s="1"/>
  <c r="E108" i="21"/>
  <c r="AE108" i="21" s="1"/>
  <c r="AE183" i="21"/>
  <c r="E182" i="21"/>
  <c r="AE182" i="21" s="1"/>
  <c r="E129" i="21"/>
  <c r="AE129" i="21" s="1"/>
  <c r="E185" i="21"/>
  <c r="AE185" i="21" s="1"/>
  <c r="E118" i="21"/>
  <c r="AE118" i="21" s="1"/>
  <c r="E117" i="21"/>
  <c r="AE117" i="21" s="1"/>
  <c r="O141" i="21"/>
  <c r="O143" i="21"/>
  <c r="H141" i="21"/>
  <c r="H143" i="21"/>
  <c r="H140" i="21"/>
  <c r="H142" i="21"/>
  <c r="V140" i="21"/>
  <c r="V142" i="21"/>
  <c r="O140" i="21"/>
  <c r="O142" i="21"/>
  <c r="E181" i="21"/>
  <c r="AE181" i="21" s="1"/>
  <c r="E213" i="21"/>
  <c r="AE213" i="21" s="1"/>
  <c r="E211" i="21"/>
  <c r="AE211" i="21" s="1"/>
  <c r="E141" i="21"/>
  <c r="AE141" i="21" s="1"/>
  <c r="AE186" i="21"/>
  <c r="E164" i="21"/>
  <c r="AE164" i="21" s="1"/>
  <c r="E175" i="21"/>
  <c r="AE175" i="21" s="1"/>
  <c r="O165" i="21"/>
  <c r="V165" i="21"/>
  <c r="V219" i="21"/>
  <c r="O218" i="21"/>
  <c r="V216" i="21"/>
  <c r="H165" i="21"/>
  <c r="H177" i="21"/>
  <c r="V214" i="21"/>
  <c r="H147" i="21"/>
  <c r="V215" i="21"/>
  <c r="H132" i="21"/>
  <c r="H134" i="21"/>
  <c r="O132" i="21"/>
  <c r="O134" i="21"/>
  <c r="H163" i="21"/>
  <c r="H166" i="21"/>
  <c r="O96" i="21"/>
  <c r="O97" i="21"/>
  <c r="V96" i="21"/>
  <c r="V97" i="21"/>
  <c r="H129" i="21"/>
  <c r="H131" i="21"/>
  <c r="H96" i="21"/>
  <c r="H97" i="21"/>
  <c r="V218" i="21"/>
  <c r="O216" i="21"/>
  <c r="O129" i="21"/>
  <c r="O131" i="21"/>
  <c r="H178" i="21"/>
  <c r="H181" i="21"/>
  <c r="O72" i="21"/>
  <c r="O73" i="21"/>
  <c r="V129" i="21"/>
  <c r="V131" i="21"/>
  <c r="V72" i="21"/>
  <c r="V73" i="21"/>
  <c r="V163" i="21"/>
  <c r="V166" i="21"/>
  <c r="V125" i="21"/>
  <c r="V127" i="21"/>
  <c r="O135" i="21"/>
  <c r="H180" i="21"/>
  <c r="V178" i="21"/>
  <c r="V181" i="21"/>
  <c r="O177" i="21"/>
  <c r="O125" i="21"/>
  <c r="O127" i="21"/>
  <c r="H121" i="21"/>
  <c r="H123" i="21"/>
  <c r="V132" i="21"/>
  <c r="V134" i="21"/>
  <c r="V170" i="21"/>
  <c r="V173" i="21"/>
  <c r="H135" i="21"/>
  <c r="O163" i="21"/>
  <c r="O166" i="21"/>
  <c r="O178" i="21"/>
  <c r="O181" i="21"/>
  <c r="V121" i="21"/>
  <c r="V123" i="21"/>
  <c r="O215" i="21"/>
  <c r="O121" i="21"/>
  <c r="O123" i="21"/>
  <c r="O214" i="21"/>
  <c r="O170" i="21"/>
  <c r="O173" i="21"/>
  <c r="V135" i="21"/>
  <c r="V177" i="21"/>
  <c r="Z231" i="13"/>
  <c r="AJ219" i="13"/>
  <c r="AI219" i="13"/>
  <c r="AH219" i="13"/>
  <c r="F96" i="16"/>
  <c r="I96" i="16" s="1"/>
  <c r="AI169" i="13"/>
  <c r="BR170" i="13"/>
  <c r="AJ169" i="13"/>
  <c r="BS170" i="13"/>
  <c r="AH169" i="13"/>
  <c r="BQ170" i="13"/>
  <c r="BC173" i="13"/>
  <c r="BD173" i="13" s="1"/>
  <c r="I167" i="5" s="1"/>
  <c r="H164" i="21" s="1"/>
  <c r="AH242" i="13"/>
  <c r="AH177" i="13" s="1"/>
  <c r="E11" i="21"/>
  <c r="AE11" i="21" s="1"/>
  <c r="AC210" i="5"/>
  <c r="AC17" i="5"/>
  <c r="E17" i="21"/>
  <c r="AE17" i="21" s="1"/>
  <c r="AC54" i="5"/>
  <c r="E54" i="21"/>
  <c r="AE54" i="21" s="1"/>
  <c r="AC156" i="5"/>
  <c r="AC83" i="5"/>
  <c r="AC60" i="5"/>
  <c r="E60" i="21"/>
  <c r="AE60" i="21" s="1"/>
  <c r="AC176" i="5"/>
  <c r="E173" i="21"/>
  <c r="AE173" i="21" s="1"/>
  <c r="AC103" i="5"/>
  <c r="E103" i="21"/>
  <c r="AE103" i="21" s="1"/>
  <c r="AC218" i="5"/>
  <c r="E215" i="21"/>
  <c r="AE215" i="21" s="1"/>
  <c r="AC50" i="5"/>
  <c r="E50" i="21"/>
  <c r="AE50" i="21" s="1"/>
  <c r="AC106" i="5"/>
  <c r="E105" i="21"/>
  <c r="AE105" i="21" s="1"/>
  <c r="AC99" i="5"/>
  <c r="E99" i="21"/>
  <c r="AE99" i="21" s="1"/>
  <c r="AC174" i="5"/>
  <c r="E171" i="21"/>
  <c r="AE171" i="21" s="1"/>
  <c r="AC61" i="5"/>
  <c r="E61" i="21"/>
  <c r="AE61" i="21" s="1"/>
  <c r="AC97" i="5"/>
  <c r="E97" i="21"/>
  <c r="AE97" i="21" s="1"/>
  <c r="AC117" i="5"/>
  <c r="AC252" i="5" s="1"/>
  <c r="AC68" i="5"/>
  <c r="E68" i="21"/>
  <c r="AE68" i="21" s="1"/>
  <c r="AC182" i="5"/>
  <c r="E179" i="21"/>
  <c r="AE179" i="21" s="1"/>
  <c r="AC71" i="5"/>
  <c r="E71" i="21"/>
  <c r="AE71" i="21" s="1"/>
  <c r="AC26" i="5"/>
  <c r="E26" i="21"/>
  <c r="AE26" i="21" s="1"/>
  <c r="AC20" i="5"/>
  <c r="AC244" i="5" s="1"/>
  <c r="E20" i="21"/>
  <c r="AE20" i="21" s="1"/>
  <c r="AC57" i="5"/>
  <c r="E57" i="21"/>
  <c r="AE57" i="21" s="1"/>
  <c r="AC73" i="5"/>
  <c r="AC155" i="5"/>
  <c r="AE152" i="21"/>
  <c r="AC222" i="5"/>
  <c r="E219" i="21"/>
  <c r="AE219" i="21" s="1"/>
  <c r="AC199" i="5"/>
  <c r="AC180" i="5"/>
  <c r="E177" i="21"/>
  <c r="AE177" i="21" s="1"/>
  <c r="AC70" i="5"/>
  <c r="E69" i="21"/>
  <c r="AE69" i="21" s="1"/>
  <c r="J64" i="21"/>
  <c r="H31" i="21"/>
  <c r="AC27" i="5"/>
  <c r="E27" i="21"/>
  <c r="AE27" i="21" s="1"/>
  <c r="AC135" i="5"/>
  <c r="E134" i="21"/>
  <c r="AE134" i="21" s="1"/>
  <c r="AC140" i="5"/>
  <c r="E138" i="21"/>
  <c r="AE138" i="21" s="1"/>
  <c r="AC220" i="5"/>
  <c r="E217" i="21"/>
  <c r="AE217" i="21" s="1"/>
  <c r="AC96" i="5"/>
  <c r="E96" i="21"/>
  <c r="AE96" i="21" s="1"/>
  <c r="AC18" i="5"/>
  <c r="E18" i="21"/>
  <c r="AE18" i="21" s="1"/>
  <c r="AC200" i="5"/>
  <c r="AC212" i="5"/>
  <c r="AE209" i="21"/>
  <c r="AC169" i="5"/>
  <c r="E166" i="21"/>
  <c r="AE166" i="21" s="1"/>
  <c r="AC129" i="5"/>
  <c r="E128" i="21"/>
  <c r="AE128" i="21" s="1"/>
  <c r="AC65" i="5"/>
  <c r="AC249" i="5" s="1"/>
  <c r="E65" i="21"/>
  <c r="AE65" i="21" s="1"/>
  <c r="AC51" i="5"/>
  <c r="E51" i="21"/>
  <c r="AE51" i="21" s="1"/>
  <c r="AC33" i="5"/>
  <c r="E33" i="21"/>
  <c r="AE33" i="21" s="1"/>
  <c r="AC158" i="5"/>
  <c r="AE155" i="21"/>
  <c r="AC77" i="5"/>
  <c r="AC185" i="5"/>
  <c r="AC40" i="5"/>
  <c r="E40" i="21"/>
  <c r="AE40" i="21" s="1"/>
  <c r="AC172" i="5"/>
  <c r="E169" i="21"/>
  <c r="AE169" i="21" s="1"/>
  <c r="AC163" i="5"/>
  <c r="AC31" i="5"/>
  <c r="AC246" i="5" s="1"/>
  <c r="E31" i="21"/>
  <c r="AE31" i="21" s="1"/>
  <c r="AC108" i="5"/>
  <c r="E107" i="21"/>
  <c r="AE107" i="21" s="1"/>
  <c r="AC121" i="5"/>
  <c r="E120" i="21"/>
  <c r="AE120" i="21" s="1"/>
  <c r="AC81" i="5"/>
  <c r="E81" i="21"/>
  <c r="AE81" i="21" s="1"/>
  <c r="AC87" i="5"/>
  <c r="AC32" i="5"/>
  <c r="E32" i="21"/>
  <c r="AE32" i="21" s="1"/>
  <c r="AC74" i="5"/>
  <c r="E74" i="21"/>
  <c r="AE74" i="21" s="1"/>
  <c r="AC205" i="5"/>
  <c r="AC165" i="5"/>
  <c r="AC125" i="5"/>
  <c r="E124" i="21"/>
  <c r="AE124" i="21" s="1"/>
  <c r="AC15" i="5"/>
  <c r="E15" i="21"/>
  <c r="AE15" i="21" s="1"/>
  <c r="AC123" i="5"/>
  <c r="E122" i="21"/>
  <c r="AE122" i="21" s="1"/>
  <c r="AA35" i="21"/>
  <c r="V16" i="21"/>
  <c r="AC127" i="5"/>
  <c r="E126" i="21"/>
  <c r="AE126" i="21" s="1"/>
  <c r="AC85" i="5"/>
  <c r="E85" i="21"/>
  <c r="AE85" i="21" s="1"/>
  <c r="AA209" i="21"/>
  <c r="AA94" i="21"/>
  <c r="AH95" i="21"/>
  <c r="AH94" i="21"/>
  <c r="AG94" i="21"/>
  <c r="AA103" i="21"/>
  <c r="AH183" i="13"/>
  <c r="AJ183" i="13"/>
  <c r="AI183" i="13"/>
  <c r="AI201" i="13"/>
  <c r="AH201" i="13"/>
  <c r="AJ201" i="13"/>
  <c r="AI81" i="13"/>
  <c r="AH81" i="13"/>
  <c r="AJ81" i="13"/>
  <c r="AI210" i="13"/>
  <c r="AJ210" i="13"/>
  <c r="AH210" i="13"/>
  <c r="BI311" i="13"/>
  <c r="BR305" i="13" s="1"/>
  <c r="AD49" i="11" s="1"/>
  <c r="BH301" i="13"/>
  <c r="AJ59" i="13"/>
  <c r="BC11" i="13"/>
  <c r="BD11" i="13" s="1"/>
  <c r="I12" i="5" s="1"/>
  <c r="H12" i="21" s="1"/>
  <c r="BJ298" i="13"/>
  <c r="BI322" i="13"/>
  <c r="BR311" i="13" s="1"/>
  <c r="AD55" i="11" s="1"/>
  <c r="BJ311" i="13"/>
  <c r="BS305" i="13" s="1"/>
  <c r="AE49" i="11" s="1"/>
  <c r="BJ322" i="13"/>
  <c r="BS311" i="13" s="1"/>
  <c r="AE55" i="11" s="1"/>
  <c r="AI59" i="13"/>
  <c r="I246" i="5"/>
  <c r="BH311" i="13"/>
  <c r="BQ305" i="13" s="1"/>
  <c r="AC49" i="11" s="1"/>
  <c r="BH298" i="13"/>
  <c r="BI301" i="13"/>
  <c r="BI298" i="13"/>
  <c r="AJ90" i="13"/>
  <c r="BH322" i="13"/>
  <c r="BQ311" i="13" s="1"/>
  <c r="AC55" i="11" s="1"/>
  <c r="AO91" i="13"/>
  <c r="BA91" i="13" s="1"/>
  <c r="AN91" i="13"/>
  <c r="AZ91" i="13" s="1"/>
  <c r="AM91" i="13"/>
  <c r="AY91" i="13" s="1"/>
  <c r="AP91" i="13"/>
  <c r="BB91" i="13" s="1"/>
  <c r="AJ16" i="13"/>
  <c r="AI75" i="13"/>
  <c r="AI221" i="13" s="1"/>
  <c r="BG29" i="13"/>
  <c r="P30" i="5" s="1"/>
  <c r="O30" i="21" s="1"/>
  <c r="BG32" i="13"/>
  <c r="P33" i="5" s="1"/>
  <c r="O33" i="21" s="1"/>
  <c r="AH75" i="13"/>
  <c r="AH221" i="13" s="1"/>
  <c r="AI30" i="13"/>
  <c r="AJ51" i="13"/>
  <c r="BI114" i="13"/>
  <c r="BJ114" i="13" s="1"/>
  <c r="W105" i="5" s="1"/>
  <c r="V105" i="21" s="1"/>
  <c r="BJ293" i="13"/>
  <c r="AJ113" i="13"/>
  <c r="AJ123" i="13" s="1"/>
  <c r="W114" i="5" s="1"/>
  <c r="V114" i="21" s="1"/>
  <c r="AJ75" i="13"/>
  <c r="AJ221" i="13" s="1"/>
  <c r="BC114" i="13"/>
  <c r="AI26" i="13"/>
  <c r="AJ10" i="13"/>
  <c r="AJ26" i="13"/>
  <c r="AJ100" i="13"/>
  <c r="AJ110" i="13" s="1"/>
  <c r="W100" i="5" s="1"/>
  <c r="V100" i="21" s="1"/>
  <c r="F107" i="16"/>
  <c r="I107" i="16" s="1"/>
  <c r="BI315" i="13"/>
  <c r="BJ317" i="13"/>
  <c r="AI51" i="13"/>
  <c r="AI10" i="13"/>
  <c r="BH317" i="13"/>
  <c r="AC143" i="13"/>
  <c r="AF143" i="13" s="1"/>
  <c r="C41" i="11"/>
  <c r="AC229" i="13"/>
  <c r="C45" i="11"/>
  <c r="AC114" i="13"/>
  <c r="AD114" i="13" s="1"/>
  <c r="C40" i="11"/>
  <c r="BI293" i="13"/>
  <c r="AJ148" i="13"/>
  <c r="AH51" i="13"/>
  <c r="AH10" i="13"/>
  <c r="AI148" i="13"/>
  <c r="AI100" i="13"/>
  <c r="AI110" i="13" s="1"/>
  <c r="F39" i="11" s="1"/>
  <c r="BD73" i="13"/>
  <c r="I70" i="5" s="1"/>
  <c r="H70" i="21" s="1"/>
  <c r="AH100" i="13"/>
  <c r="AH110" i="13" s="1"/>
  <c r="D39" i="11" s="1"/>
  <c r="AJ19" i="13"/>
  <c r="AH113" i="13"/>
  <c r="AH123" i="13" s="1"/>
  <c r="AI90" i="13"/>
  <c r="BI317" i="13"/>
  <c r="AI86" i="13"/>
  <c r="AI155" i="13"/>
  <c r="AI166" i="13" s="1"/>
  <c r="P159" i="5" s="1"/>
  <c r="O159" i="21" s="1"/>
  <c r="AI16" i="13"/>
  <c r="BF163" i="13"/>
  <c r="BQ73" i="13"/>
  <c r="BJ299" i="13"/>
  <c r="AH69" i="13"/>
  <c r="BG73" i="13"/>
  <c r="P70" i="5" s="1"/>
  <c r="O70" i="21" s="1"/>
  <c r="AH148" i="13"/>
  <c r="AJ86" i="13"/>
  <c r="AJ69" i="13"/>
  <c r="AH86" i="13"/>
  <c r="AI69" i="13"/>
  <c r="AH90" i="13"/>
  <c r="AJ30" i="13"/>
  <c r="BJ32" i="13"/>
  <c r="W33" i="5" s="1"/>
  <c r="BD163" i="13"/>
  <c r="I156" i="5" s="1"/>
  <c r="H156" i="21" s="1"/>
  <c r="BH315" i="13"/>
  <c r="BI73" i="13"/>
  <c r="BD32" i="13"/>
  <c r="I33" i="5" s="1"/>
  <c r="H33" i="21" s="1"/>
  <c r="AI113" i="13"/>
  <c r="AI123" i="13" s="1"/>
  <c r="P114" i="5" s="1"/>
  <c r="O114" i="21" s="1"/>
  <c r="AH30" i="13"/>
  <c r="AH26" i="13"/>
  <c r="BH299" i="13"/>
  <c r="BF114" i="13"/>
  <c r="BG114" i="13" s="1"/>
  <c r="P105" i="5" s="1"/>
  <c r="O105" i="21" s="1"/>
  <c r="BR73" i="13"/>
  <c r="AJ39" i="13"/>
  <c r="AI39" i="13"/>
  <c r="AH39" i="13"/>
  <c r="I254" i="5"/>
  <c r="BJ321" i="13"/>
  <c r="BH314" i="13"/>
  <c r="BJ306" i="13"/>
  <c r="BS301" i="13" s="1"/>
  <c r="AE45" i="11" s="1"/>
  <c r="BD12" i="13"/>
  <c r="I13" i="5" s="1"/>
  <c r="BG12" i="13"/>
  <c r="P13" i="5" s="1"/>
  <c r="O13" i="21" s="1"/>
  <c r="BJ12" i="13"/>
  <c r="W13" i="5" s="1"/>
  <c r="V13" i="21" s="1"/>
  <c r="AC115" i="13"/>
  <c r="BJ314" i="13"/>
  <c r="BI306" i="13"/>
  <c r="BR301" i="13" s="1"/>
  <c r="AD45" i="11" s="1"/>
  <c r="AA166" i="13"/>
  <c r="AA208" i="13"/>
  <c r="AJ138" i="13"/>
  <c r="AI138" i="13"/>
  <c r="AH138" i="13"/>
  <c r="BH306" i="13"/>
  <c r="BQ301" i="13" s="1"/>
  <c r="AC45" i="11" s="1"/>
  <c r="AC122" i="13"/>
  <c r="AE122" i="13" s="1"/>
  <c r="I255" i="5"/>
  <c r="AC118" i="13"/>
  <c r="AD118" i="13" s="1"/>
  <c r="AC116" i="13"/>
  <c r="AE116" i="13" s="1"/>
  <c r="AC119" i="13"/>
  <c r="AF119" i="13" s="1"/>
  <c r="AC113" i="13"/>
  <c r="AC117" i="13"/>
  <c r="AC121" i="13"/>
  <c r="AC120" i="13"/>
  <c r="AF120" i="13" s="1"/>
  <c r="BH320" i="13"/>
  <c r="BH316" i="13"/>
  <c r="F87" i="16"/>
  <c r="I87" i="16" s="1"/>
  <c r="F198" i="5"/>
  <c r="E199" i="21" s="1"/>
  <c r="AE199" i="21" s="1"/>
  <c r="F38" i="5"/>
  <c r="AA79" i="13"/>
  <c r="F78" i="5"/>
  <c r="AA197" i="13"/>
  <c r="Y208" i="13"/>
  <c r="BH325" i="13"/>
  <c r="BQ314" i="13" s="1"/>
  <c r="AC58" i="11" s="1"/>
  <c r="BI325" i="13"/>
  <c r="BR314" i="13" s="1"/>
  <c r="AD58" i="11" s="1"/>
  <c r="AH166" i="13"/>
  <c r="BJ316" i="13"/>
  <c r="BJ325" i="13"/>
  <c r="BS314" i="13" s="1"/>
  <c r="AE58" i="11" s="1"/>
  <c r="BJ151" i="13"/>
  <c r="W143" i="5" s="1"/>
  <c r="BG156" i="13"/>
  <c r="P149" i="5" s="1"/>
  <c r="BI320" i="13"/>
  <c r="BI314" i="13"/>
  <c r="BJ320" i="13"/>
  <c r="AJ166" i="13"/>
  <c r="W159" i="5" s="1"/>
  <c r="V159" i="21" s="1"/>
  <c r="AJ179" i="13"/>
  <c r="BI181" i="13"/>
  <c r="AH179" i="13"/>
  <c r="BC181" i="13"/>
  <c r="AI179" i="13"/>
  <c r="BF181" i="13"/>
  <c r="BR173" i="13"/>
  <c r="BF173" i="13"/>
  <c r="BS173" i="13"/>
  <c r="BI173" i="13"/>
  <c r="BJ310" i="13"/>
  <c r="BS304" i="13" s="1"/>
  <c r="AE48" i="11" s="1"/>
  <c r="BD22" i="13"/>
  <c r="I23" i="5" s="1"/>
  <c r="H23" i="21" s="1"/>
  <c r="BJ22" i="13"/>
  <c r="W23" i="5" s="1"/>
  <c r="BG22" i="13"/>
  <c r="P23" i="5" s="1"/>
  <c r="O23" i="21" s="1"/>
  <c r="I253" i="5"/>
  <c r="I173" i="5"/>
  <c r="BI310" i="13"/>
  <c r="BR304" i="13" s="1"/>
  <c r="AD48" i="11" s="1"/>
  <c r="BH310" i="13"/>
  <c r="BQ304" i="13" s="1"/>
  <c r="AC48" i="11" s="1"/>
  <c r="AH171" i="13"/>
  <c r="BQ173" i="13"/>
  <c r="AF96" i="21"/>
  <c r="I245" i="5"/>
  <c r="AA213" i="13"/>
  <c r="I126" i="5"/>
  <c r="H126" i="21" s="1"/>
  <c r="F144" i="5"/>
  <c r="E144" i="21" s="1"/>
  <c r="AE144" i="21" s="1"/>
  <c r="AC131" i="13"/>
  <c r="AC144" i="13"/>
  <c r="AC142" i="13"/>
  <c r="AE142" i="13" s="1"/>
  <c r="AC141" i="13"/>
  <c r="AF141" i="13" s="1"/>
  <c r="AA66" i="13"/>
  <c r="C37" i="11" s="1"/>
  <c r="AC126" i="13"/>
  <c r="AC150" i="13"/>
  <c r="AD150" i="13" s="1"/>
  <c r="H142" i="5" s="1"/>
  <c r="G142" i="21" s="1"/>
  <c r="AC128" i="13"/>
  <c r="AE128" i="13" s="1"/>
  <c r="AC133" i="13"/>
  <c r="AE133" i="13" s="1"/>
  <c r="AC134" i="13"/>
  <c r="AC135" i="13"/>
  <c r="AC129" i="13"/>
  <c r="AF129" i="13" s="1"/>
  <c r="AC138" i="13"/>
  <c r="AC151" i="13"/>
  <c r="AF151" i="13" s="1"/>
  <c r="AC140" i="13"/>
  <c r="AF140" i="13" s="1"/>
  <c r="AC130" i="13"/>
  <c r="AC136" i="13"/>
  <c r="AE136" i="13" s="1"/>
  <c r="AC127" i="13"/>
  <c r="AC139" i="13"/>
  <c r="AC148" i="13"/>
  <c r="AC147" i="13"/>
  <c r="AE147" i="13" s="1"/>
  <c r="AC145" i="13"/>
  <c r="AD145" i="13" s="1"/>
  <c r="AC149" i="13"/>
  <c r="AD149" i="13" s="1"/>
  <c r="AC137" i="13"/>
  <c r="AF137" i="13" s="1"/>
  <c r="AC132" i="13"/>
  <c r="AF132" i="13" s="1"/>
  <c r="AC146" i="13"/>
  <c r="AE146" i="13" s="1"/>
  <c r="F17" i="16"/>
  <c r="I17" i="16" s="1"/>
  <c r="AF95" i="21"/>
  <c r="P16" i="5"/>
  <c r="O16" i="21" s="1"/>
  <c r="I249" i="5"/>
  <c r="AJ242" i="13"/>
  <c r="F162" i="5"/>
  <c r="E162" i="21" s="1"/>
  <c r="AE162" i="21" s="1"/>
  <c r="F75" i="16"/>
  <c r="I75" i="16" s="1"/>
  <c r="AI242" i="13"/>
  <c r="AI171" i="13"/>
  <c r="AJ171" i="13"/>
  <c r="BH312" i="13"/>
  <c r="BQ306" i="13" s="1"/>
  <c r="AC50" i="11" s="1"/>
  <c r="BI312" i="13"/>
  <c r="BR306" i="13" s="1"/>
  <c r="AD50" i="11" s="1"/>
  <c r="BJ312" i="13"/>
  <c r="BS306" i="13" s="1"/>
  <c r="AE50" i="11" s="1"/>
  <c r="AH204" i="13"/>
  <c r="AI204" i="13"/>
  <c r="F45" i="5"/>
  <c r="F18" i="16"/>
  <c r="I18" i="16" s="1"/>
  <c r="AJ204" i="13"/>
  <c r="AF209" i="21"/>
  <c r="BG128" i="13"/>
  <c r="P119" i="5" s="1"/>
  <c r="O119" i="21" s="1"/>
  <c r="BF24" i="13"/>
  <c r="BG24" i="13" s="1"/>
  <c r="P25" i="5" s="1"/>
  <c r="O25" i="21" s="1"/>
  <c r="BI24" i="13"/>
  <c r="BJ24" i="13" s="1"/>
  <c r="W25" i="5" s="1"/>
  <c r="V25" i="21" s="1"/>
  <c r="BD128" i="13"/>
  <c r="I119" i="5" s="1"/>
  <c r="H119" i="21" s="1"/>
  <c r="I171" i="5"/>
  <c r="BG158" i="13"/>
  <c r="BI318" i="13" s="1"/>
  <c r="BJ158" i="13"/>
  <c r="BJ318" i="13"/>
  <c r="BJ113" i="13"/>
  <c r="W103" i="5" s="1"/>
  <c r="V103" i="21" s="1"/>
  <c r="BD158" i="13"/>
  <c r="BH318" i="13" s="1"/>
  <c r="BJ128" i="13"/>
  <c r="W119" i="5" s="1"/>
  <c r="V119" i="21" s="1"/>
  <c r="BC24" i="13"/>
  <c r="BG25" i="13"/>
  <c r="P26" i="5" s="1"/>
  <c r="O26" i="21" s="1"/>
  <c r="BJ25" i="13"/>
  <c r="W26" i="5" s="1"/>
  <c r="V26" i="21" s="1"/>
  <c r="BD25" i="13"/>
  <c r="I26" i="5" s="1"/>
  <c r="H26" i="21" s="1"/>
  <c r="F194" i="5"/>
  <c r="AC13" i="13"/>
  <c r="AF13" i="13" s="1"/>
  <c r="AC23" i="13"/>
  <c r="AC24" i="13"/>
  <c r="I24" i="5"/>
  <c r="H24" i="21" s="1"/>
  <c r="AD139" i="13"/>
  <c r="AF139" i="13"/>
  <c r="AE139" i="13"/>
  <c r="AD131" i="13"/>
  <c r="AF131" i="13"/>
  <c r="AE131" i="13"/>
  <c r="AF135" i="13"/>
  <c r="AD135" i="13"/>
  <c r="AE135" i="13"/>
  <c r="AD127" i="13"/>
  <c r="AF127" i="13"/>
  <c r="AE127" i="13"/>
  <c r="I170" i="5"/>
  <c r="H167" i="21" s="1"/>
  <c r="AF193" i="13"/>
  <c r="AE193" i="13"/>
  <c r="AD193" i="13"/>
  <c r="AD176" i="13"/>
  <c r="AF176" i="13"/>
  <c r="AD172" i="13"/>
  <c r="AE172" i="13"/>
  <c r="AF172" i="13"/>
  <c r="AF180" i="13"/>
  <c r="AD180" i="13"/>
  <c r="AE180" i="13"/>
  <c r="AF184" i="13"/>
  <c r="AD184" i="13"/>
  <c r="AE184" i="13"/>
  <c r="AD190" i="13"/>
  <c r="AE190" i="13"/>
  <c r="AF190" i="13"/>
  <c r="AC224" i="13"/>
  <c r="AF224" i="13" s="1"/>
  <c r="AC22" i="13"/>
  <c r="AD22" i="13" s="1"/>
  <c r="H23" i="5" s="1"/>
  <c r="G23" i="21" s="1"/>
  <c r="F14" i="16"/>
  <c r="I14" i="16" s="1"/>
  <c r="AC230" i="13"/>
  <c r="AE230" i="13" s="1"/>
  <c r="F68" i="16"/>
  <c r="I68" i="16" s="1"/>
  <c r="F147" i="5"/>
  <c r="AC31" i="13"/>
  <c r="AE31" i="13" s="1"/>
  <c r="AC11" i="13"/>
  <c r="AE11" i="13" s="1"/>
  <c r="AC30" i="13"/>
  <c r="AC25" i="13"/>
  <c r="AD25" i="13" s="1"/>
  <c r="AC17" i="13"/>
  <c r="AD17" i="13" s="1"/>
  <c r="H18" i="5" s="1"/>
  <c r="AC21" i="13"/>
  <c r="AD21" i="13" s="1"/>
  <c r="H22" i="5" s="1"/>
  <c r="G22" i="21" s="1"/>
  <c r="AC16" i="13"/>
  <c r="AC26" i="13"/>
  <c r="AC10" i="13"/>
  <c r="AC20" i="13"/>
  <c r="AE20" i="13" s="1"/>
  <c r="AC29" i="13"/>
  <c r="AD29" i="13" s="1"/>
  <c r="H30" i="5" s="1"/>
  <c r="G30" i="21" s="1"/>
  <c r="AC33" i="13"/>
  <c r="AD33" i="13" s="1"/>
  <c r="H34" i="5" s="1"/>
  <c r="G34" i="21" s="1"/>
  <c r="AC15" i="13"/>
  <c r="AD15" i="13" s="1"/>
  <c r="H16" i="5" s="1"/>
  <c r="G16" i="21" s="1"/>
  <c r="AC19" i="13"/>
  <c r="AC28" i="13"/>
  <c r="AF28" i="13" s="1"/>
  <c r="AC12" i="13"/>
  <c r="AD12" i="13" s="1"/>
  <c r="H13" i="5" s="1"/>
  <c r="G13" i="21" s="1"/>
  <c r="AC14" i="13"/>
  <c r="AD14" i="13" s="1"/>
  <c r="H15" i="5" s="1"/>
  <c r="G15" i="21" s="1"/>
  <c r="F35" i="5"/>
  <c r="AC32" i="13"/>
  <c r="AD32" i="13" s="1"/>
  <c r="H33" i="5" s="1"/>
  <c r="G33" i="21" s="1"/>
  <c r="AC27" i="13"/>
  <c r="AF27" i="13" s="1"/>
  <c r="AC18" i="13"/>
  <c r="AE18" i="13" s="1"/>
  <c r="F94" i="5"/>
  <c r="E95" i="21" s="1"/>
  <c r="AE95" i="21" s="1"/>
  <c r="AA110" i="13"/>
  <c r="C39" i="11" s="1"/>
  <c r="F43" i="16"/>
  <c r="BD65" i="13"/>
  <c r="BG113" i="13"/>
  <c r="P103" i="5" s="1"/>
  <c r="O103" i="21" s="1"/>
  <c r="BD226" i="13"/>
  <c r="I219" i="5" s="1"/>
  <c r="BD225" i="13"/>
  <c r="I218" i="5" s="1"/>
  <c r="BD221" i="13"/>
  <c r="I214" i="5" s="1"/>
  <c r="BD218" i="13"/>
  <c r="I211" i="5" s="1"/>
  <c r="BD224" i="13"/>
  <c r="I217" i="5" s="1"/>
  <c r="BD222" i="13"/>
  <c r="I215" i="5" s="1"/>
  <c r="BD228" i="13"/>
  <c r="I221" i="5" s="1"/>
  <c r="H221" i="21" s="1"/>
  <c r="BD113" i="13"/>
  <c r="I103" i="5" s="1"/>
  <c r="H103" i="21" s="1"/>
  <c r="BD46" i="13"/>
  <c r="I45" i="5" s="1"/>
  <c r="H45" i="21" s="1"/>
  <c r="BF227" i="13"/>
  <c r="BG227" i="13" s="1"/>
  <c r="P220" i="5" s="1"/>
  <c r="BF229" i="13"/>
  <c r="BG229" i="13" s="1"/>
  <c r="P222" i="5" s="1"/>
  <c r="BC229" i="13"/>
  <c r="BF219" i="13"/>
  <c r="BG219" i="13" s="1"/>
  <c r="P212" i="5" s="1"/>
  <c r="BI227" i="13"/>
  <c r="BJ227" i="13" s="1"/>
  <c r="W220" i="5" s="1"/>
  <c r="BC219" i="13"/>
  <c r="BI219" i="13"/>
  <c r="BJ219" i="13" s="1"/>
  <c r="W212" i="5" s="1"/>
  <c r="BC227" i="13"/>
  <c r="BI217" i="13"/>
  <c r="BJ217" i="13" s="1"/>
  <c r="W210" i="5" s="1"/>
  <c r="V211" i="21" s="1"/>
  <c r="BF217" i="13"/>
  <c r="BG217" i="13" s="1"/>
  <c r="P210" i="5" s="1"/>
  <c r="O211" i="21" s="1"/>
  <c r="BC217" i="13"/>
  <c r="I153" i="5"/>
  <c r="H153" i="21" s="1"/>
  <c r="I72" i="5"/>
  <c r="I60" i="5"/>
  <c r="H60" i="21" s="1"/>
  <c r="BF155" i="13"/>
  <c r="BG155" i="13" s="1"/>
  <c r="P147" i="5" s="1"/>
  <c r="BI155" i="13"/>
  <c r="BJ155" i="13" s="1"/>
  <c r="W147" i="5" s="1"/>
  <c r="I27" i="5"/>
  <c r="H27" i="21" s="1"/>
  <c r="AF98" i="21"/>
  <c r="AC228" i="13"/>
  <c r="AC226" i="13"/>
  <c r="AC227" i="13"/>
  <c r="F65" i="16"/>
  <c r="I65" i="16" s="1"/>
  <c r="AC217" i="13"/>
  <c r="AE217" i="13" s="1"/>
  <c r="AC220" i="13"/>
  <c r="AC221" i="13"/>
  <c r="AC218" i="13"/>
  <c r="AC225" i="13"/>
  <c r="AC222" i="13"/>
  <c r="AC223" i="13"/>
  <c r="F224" i="5"/>
  <c r="AC219" i="13"/>
  <c r="I94" i="16"/>
  <c r="AC46" i="5" l="1"/>
  <c r="E46" i="21"/>
  <c r="AE46" i="21" s="1"/>
  <c r="BG235" i="13"/>
  <c r="P46" i="5" s="1"/>
  <c r="O46" i="21" s="1"/>
  <c r="AI48" i="13"/>
  <c r="AI50" i="13"/>
  <c r="AI49" i="13"/>
  <c r="AJ48" i="13"/>
  <c r="AJ50" i="13"/>
  <c r="AJ49" i="13"/>
  <c r="AH48" i="13"/>
  <c r="AH49" i="13"/>
  <c r="AH50" i="13"/>
  <c r="AE221" i="21"/>
  <c r="E224" i="21"/>
  <c r="O219" i="21"/>
  <c r="O222" i="21"/>
  <c r="V141" i="21"/>
  <c r="V143" i="21"/>
  <c r="E147" i="21"/>
  <c r="AE147" i="21" s="1"/>
  <c r="E148" i="21"/>
  <c r="AE148" i="21" s="1"/>
  <c r="E163" i="21"/>
  <c r="AE163" i="21" s="1"/>
  <c r="V213" i="21"/>
  <c r="H168" i="21"/>
  <c r="H172" i="21"/>
  <c r="O213" i="21"/>
  <c r="H216" i="21"/>
  <c r="H218" i="21"/>
  <c r="V212" i="21"/>
  <c r="O69" i="21"/>
  <c r="O71" i="21"/>
  <c r="H69" i="21"/>
  <c r="H71" i="21"/>
  <c r="O147" i="21"/>
  <c r="H118" i="21"/>
  <c r="H120" i="21"/>
  <c r="O212" i="21"/>
  <c r="H214" i="21"/>
  <c r="O210" i="21"/>
  <c r="V104" i="21"/>
  <c r="V106" i="21"/>
  <c r="V210" i="21"/>
  <c r="O118" i="21"/>
  <c r="O120" i="21"/>
  <c r="V217" i="21"/>
  <c r="V220" i="21"/>
  <c r="H215" i="21"/>
  <c r="V118" i="21"/>
  <c r="V120" i="21"/>
  <c r="O104" i="21"/>
  <c r="O106" i="21"/>
  <c r="H170" i="21"/>
  <c r="H173" i="21"/>
  <c r="H125" i="21"/>
  <c r="H127" i="21"/>
  <c r="V147" i="21"/>
  <c r="H72" i="21"/>
  <c r="H73" i="21"/>
  <c r="O217" i="21"/>
  <c r="O220" i="21"/>
  <c r="AF114" i="13"/>
  <c r="AF113" i="13" s="1"/>
  <c r="AE114" i="13"/>
  <c r="O105" i="5" s="1"/>
  <c r="AC194" i="5"/>
  <c r="AA42" i="21"/>
  <c r="V23" i="21"/>
  <c r="AC94" i="5"/>
  <c r="AC250" i="5" s="1"/>
  <c r="E94" i="21"/>
  <c r="AE94" i="21" s="1"/>
  <c r="AC35" i="5"/>
  <c r="E35" i="21"/>
  <c r="AE35" i="21" s="1"/>
  <c r="I37" i="21"/>
  <c r="G18" i="21"/>
  <c r="AA66" i="21"/>
  <c r="V33" i="21"/>
  <c r="AC78" i="5"/>
  <c r="E78" i="21"/>
  <c r="AE78" i="21" s="1"/>
  <c r="AC144" i="5"/>
  <c r="AE142" i="21"/>
  <c r="AF97" i="21"/>
  <c r="AC38" i="5"/>
  <c r="E38" i="21"/>
  <c r="AE38" i="21" s="1"/>
  <c r="AC147" i="5"/>
  <c r="AC257" i="5" s="1"/>
  <c r="AE145" i="21"/>
  <c r="AC198" i="5"/>
  <c r="E195" i="21"/>
  <c r="AE195" i="21" s="1"/>
  <c r="AC45" i="5"/>
  <c r="AC234" i="5" s="1"/>
  <c r="E45" i="21"/>
  <c r="AE45" i="21" s="1"/>
  <c r="AF13" i="21"/>
  <c r="H13" i="21"/>
  <c r="AC162" i="5"/>
  <c r="AG97" i="21"/>
  <c r="AF12" i="21"/>
  <c r="AG95" i="21"/>
  <c r="AA219" i="21"/>
  <c r="BR308" i="13"/>
  <c r="AD52" i="11" s="1"/>
  <c r="I18" i="3"/>
  <c r="AD119" i="13"/>
  <c r="H110" i="5" s="1"/>
  <c r="BS295" i="13"/>
  <c r="AE39" i="11" s="1"/>
  <c r="BH293" i="13"/>
  <c r="AE120" i="13"/>
  <c r="O111" i="5" s="1"/>
  <c r="AD120" i="13"/>
  <c r="H111" i="5" s="1"/>
  <c r="BI91" i="13"/>
  <c r="BJ91" i="13" s="1"/>
  <c r="W87" i="5" s="1"/>
  <c r="AI213" i="13"/>
  <c r="AH213" i="13"/>
  <c r="AJ213" i="13"/>
  <c r="AJ178" i="13"/>
  <c r="AJ177" i="13"/>
  <c r="BS177" i="13" s="1"/>
  <c r="AH178" i="13"/>
  <c r="BQ178" i="13" s="1"/>
  <c r="BQ177" i="13"/>
  <c r="AI178" i="13"/>
  <c r="AI177" i="13"/>
  <c r="BR177" i="13" s="1"/>
  <c r="BQ295" i="13"/>
  <c r="AC39" i="11" s="1"/>
  <c r="AD11" i="13"/>
  <c r="H12" i="5" s="1"/>
  <c r="G12" i="21" s="1"/>
  <c r="BJ309" i="13"/>
  <c r="BS303" i="13" s="1"/>
  <c r="AE47" i="11" s="1"/>
  <c r="BH297" i="13"/>
  <c r="BJ307" i="13"/>
  <c r="BS302" i="13" s="1"/>
  <c r="AE46" i="11" s="1"/>
  <c r="BJ297" i="13"/>
  <c r="BI302" i="13"/>
  <c r="BR297" i="13" s="1"/>
  <c r="AD41" i="11" s="1"/>
  <c r="S263" i="13"/>
  <c r="BH309" i="13"/>
  <c r="BQ303" i="13" s="1"/>
  <c r="AC47" i="11" s="1"/>
  <c r="BJ300" i="13"/>
  <c r="BS296" i="13" s="1"/>
  <c r="AE40" i="11" s="1"/>
  <c r="BJ295" i="13"/>
  <c r="BI304" i="13"/>
  <c r="BR299" i="13" s="1"/>
  <c r="AD43" i="11" s="1"/>
  <c r="BI300" i="13"/>
  <c r="BR296" i="13" s="1"/>
  <c r="AD40" i="11" s="1"/>
  <c r="BJ294" i="13"/>
  <c r="BS293" i="13" s="1"/>
  <c r="AE37" i="11" s="1"/>
  <c r="BH321" i="13"/>
  <c r="BQ310" i="13" s="1"/>
  <c r="AC54" i="11" s="1"/>
  <c r="BI299" i="13"/>
  <c r="BR295" i="13" s="1"/>
  <c r="AD39" i="11" s="1"/>
  <c r="BH295" i="13"/>
  <c r="BI294" i="13"/>
  <c r="BR293" i="13" s="1"/>
  <c r="AD37" i="11" s="1"/>
  <c r="BI316" i="13"/>
  <c r="BC91" i="13"/>
  <c r="BD91" i="13" s="1"/>
  <c r="BH300" i="13"/>
  <c r="BQ296" i="13" s="1"/>
  <c r="AC40" i="11" s="1"/>
  <c r="BH294" i="13"/>
  <c r="BJ315" i="13"/>
  <c r="BS308" i="13" s="1"/>
  <c r="AE52" i="11" s="1"/>
  <c r="BI295" i="13"/>
  <c r="BI297" i="13"/>
  <c r="BI309" i="13"/>
  <c r="BR303" i="13" s="1"/>
  <c r="AD47" i="11" s="1"/>
  <c r="BH323" i="13"/>
  <c r="BQ312" i="13" s="1"/>
  <c r="AC56" i="11" s="1"/>
  <c r="BH304" i="13"/>
  <c r="BQ299" i="13" s="1"/>
  <c r="AC43" i="11" s="1"/>
  <c r="BF91" i="13"/>
  <c r="BG91" i="13" s="1"/>
  <c r="BD114" i="13"/>
  <c r="I105" i="5" s="1"/>
  <c r="H105" i="21" s="1"/>
  <c r="AE143" i="13"/>
  <c r="O134" i="5" s="1"/>
  <c r="AI36" i="13"/>
  <c r="P35" i="5" s="1"/>
  <c r="O35" i="21" s="1"/>
  <c r="AD143" i="13"/>
  <c r="H134" i="5" s="1"/>
  <c r="AF227" i="13"/>
  <c r="AE229" i="13"/>
  <c r="AF229" i="13"/>
  <c r="V222" i="5" s="1"/>
  <c r="U222" i="21" s="1"/>
  <c r="I100" i="5"/>
  <c r="H100" i="21" s="1"/>
  <c r="AJ152" i="13"/>
  <c r="H41" i="11" s="1"/>
  <c r="I41" i="11" s="1"/>
  <c r="M41" i="11" s="1"/>
  <c r="AF28" i="11" s="1"/>
  <c r="AH36" i="13"/>
  <c r="D36" i="11" s="1"/>
  <c r="E36" i="11" s="1"/>
  <c r="K36" i="11" s="1"/>
  <c r="AD23" i="11" s="1"/>
  <c r="AI152" i="13"/>
  <c r="F41" i="11" s="1"/>
  <c r="G41" i="11" s="1"/>
  <c r="L41" i="11" s="1"/>
  <c r="AE28" i="11" s="1"/>
  <c r="AC161" i="13"/>
  <c r="AD161" i="13" s="1"/>
  <c r="C42" i="11"/>
  <c r="AC195" i="13"/>
  <c r="AE195" i="13" s="1"/>
  <c r="C43" i="11"/>
  <c r="AF118" i="13"/>
  <c r="AF117" i="13" s="1"/>
  <c r="AH152" i="13"/>
  <c r="I144" i="5" s="1"/>
  <c r="H144" i="21" s="1"/>
  <c r="AJ36" i="13"/>
  <c r="W35" i="5" s="1"/>
  <c r="V35" i="21" s="1"/>
  <c r="AD116" i="13"/>
  <c r="AD115" i="13" s="1"/>
  <c r="AF116" i="13"/>
  <c r="AF115" i="13" s="1"/>
  <c r="AC157" i="13"/>
  <c r="AD157" i="13" s="1"/>
  <c r="H150" i="5" s="1"/>
  <c r="G150" i="21" s="1"/>
  <c r="AC164" i="13"/>
  <c r="AC158" i="13"/>
  <c r="AD158" i="13" s="1"/>
  <c r="H151" i="5" s="1"/>
  <c r="G151" i="21" s="1"/>
  <c r="F190" i="5"/>
  <c r="AC165" i="13"/>
  <c r="AC163" i="13"/>
  <c r="AD163" i="13" s="1"/>
  <c r="AC194" i="13"/>
  <c r="AE194" i="13" s="1"/>
  <c r="AC159" i="13"/>
  <c r="AC160" i="13"/>
  <c r="AC155" i="13"/>
  <c r="AC162" i="13"/>
  <c r="AC187" i="13"/>
  <c r="AC181" i="13"/>
  <c r="AE181" i="13" s="1"/>
  <c r="AC193" i="13"/>
  <c r="AC156" i="13"/>
  <c r="AF156" i="13" s="1"/>
  <c r="BG163" i="13"/>
  <c r="P156" i="5" s="1"/>
  <c r="O156" i="21" s="1"/>
  <c r="BQ308" i="13"/>
  <c r="AC52" i="11" s="1"/>
  <c r="AH231" i="13"/>
  <c r="D45" i="11" s="1"/>
  <c r="E45" i="11" s="1"/>
  <c r="K45" i="11" s="1"/>
  <c r="AD32" i="11" s="1"/>
  <c r="BJ73" i="13"/>
  <c r="W70" i="5" s="1"/>
  <c r="V70" i="21" s="1"/>
  <c r="BS310" i="13"/>
  <c r="AE54" i="11" s="1"/>
  <c r="BI307" i="13"/>
  <c r="BR302" i="13" s="1"/>
  <c r="AD46" i="11" s="1"/>
  <c r="P100" i="5"/>
  <c r="O100" i="21" s="1"/>
  <c r="AJ231" i="13"/>
  <c r="W224" i="5" s="1"/>
  <c r="V224" i="21" s="1"/>
  <c r="AI231" i="13"/>
  <c r="P224" i="5" s="1"/>
  <c r="O224" i="21" s="1"/>
  <c r="AD229" i="13"/>
  <c r="H222" i="5" s="1"/>
  <c r="G222" i="21" s="1"/>
  <c r="F203" i="5"/>
  <c r="E203" i="21" s="1"/>
  <c r="AI208" i="13"/>
  <c r="AH208" i="13"/>
  <c r="AJ208" i="13"/>
  <c r="AF122" i="13"/>
  <c r="AF121" i="13" s="1"/>
  <c r="AD122" i="13"/>
  <c r="AD121" i="13" s="1"/>
  <c r="BJ173" i="13"/>
  <c r="W167" i="5" s="1"/>
  <c r="V168" i="21" s="1"/>
  <c r="BG173" i="13"/>
  <c r="P167" i="5" s="1"/>
  <c r="O168" i="21" s="1"/>
  <c r="BG181" i="13"/>
  <c r="P174" i="5" s="1"/>
  <c r="O175" i="21" s="1"/>
  <c r="BD181" i="13"/>
  <c r="I174" i="5" s="1"/>
  <c r="H175" i="21" s="1"/>
  <c r="BH324" i="13"/>
  <c r="BQ313" i="13" s="1"/>
  <c r="AC57" i="11" s="1"/>
  <c r="BJ181" i="13"/>
  <c r="W174" i="5" s="1"/>
  <c r="V175" i="21" s="1"/>
  <c r="BJ324" i="13"/>
  <c r="BS313" i="13" s="1"/>
  <c r="AE57" i="11" s="1"/>
  <c r="AE118" i="13"/>
  <c r="O109" i="5" s="1"/>
  <c r="F201" i="5"/>
  <c r="E202" i="21" s="1"/>
  <c r="AE202" i="21" s="1"/>
  <c r="AE141" i="13"/>
  <c r="F89" i="16"/>
  <c r="I89" i="16" s="1"/>
  <c r="AE119" i="13"/>
  <c r="V110" i="5" s="1"/>
  <c r="AC123" i="13"/>
  <c r="AC190" i="13"/>
  <c r="AC183" i="13"/>
  <c r="AC170" i="13"/>
  <c r="AE170" i="13" s="1"/>
  <c r="AE169" i="13" s="1"/>
  <c r="AC169" i="13"/>
  <c r="AC171" i="13"/>
  <c r="AC186" i="13"/>
  <c r="AE186" i="13" s="1"/>
  <c r="AC174" i="13"/>
  <c r="AE174" i="13" s="1"/>
  <c r="AC192" i="13"/>
  <c r="AC180" i="13"/>
  <c r="AC184" i="13"/>
  <c r="AC176" i="13"/>
  <c r="AE176" i="13" s="1"/>
  <c r="AC179" i="13"/>
  <c r="AC175" i="13"/>
  <c r="AC173" i="13"/>
  <c r="AF173" i="13" s="1"/>
  <c r="AC177" i="13"/>
  <c r="AC172" i="13"/>
  <c r="AC188" i="13"/>
  <c r="AE188" i="13" s="1"/>
  <c r="AE187" i="13" s="1"/>
  <c r="AC196" i="13"/>
  <c r="AE196" i="13" s="1"/>
  <c r="AC191" i="13"/>
  <c r="AF191" i="13" s="1"/>
  <c r="AF189" i="13" s="1"/>
  <c r="AC182" i="13"/>
  <c r="AD182" i="13" s="1"/>
  <c r="H175" i="5" s="1"/>
  <c r="AC189" i="13"/>
  <c r="AC178" i="13"/>
  <c r="AC185" i="13"/>
  <c r="AF185" i="13" s="1"/>
  <c r="AA211" i="13"/>
  <c r="I16" i="3" s="1"/>
  <c r="AD142" i="13"/>
  <c r="H133" i="5" s="1"/>
  <c r="AF142" i="13"/>
  <c r="V133" i="5" s="1"/>
  <c r="V132" i="5"/>
  <c r="V111" i="5"/>
  <c r="V134" i="5"/>
  <c r="W151" i="5"/>
  <c r="V151" i="21" s="1"/>
  <c r="BJ250" i="13"/>
  <c r="P151" i="5"/>
  <c r="O151" i="21" s="1"/>
  <c r="BG250" i="13"/>
  <c r="I151" i="5"/>
  <c r="H151" i="21" s="1"/>
  <c r="BD250" i="13"/>
  <c r="AD141" i="13"/>
  <c r="H132" i="5" s="1"/>
  <c r="BD24" i="13"/>
  <c r="I25" i="5" s="1"/>
  <c r="H25" i="21" s="1"/>
  <c r="F206" i="5"/>
  <c r="E206" i="21" s="1"/>
  <c r="AE206" i="21" s="1"/>
  <c r="AD147" i="13"/>
  <c r="H139" i="5" s="1"/>
  <c r="AF147" i="13"/>
  <c r="V139" i="5" s="1"/>
  <c r="AD137" i="13"/>
  <c r="H128" i="5" s="1"/>
  <c r="AE137" i="13"/>
  <c r="AE145" i="13"/>
  <c r="AE144" i="13" s="1"/>
  <c r="AF145" i="13"/>
  <c r="AF94" i="21"/>
  <c r="AD136" i="13"/>
  <c r="H127" i="5" s="1"/>
  <c r="AF136" i="13"/>
  <c r="V127" i="5" s="1"/>
  <c r="AC45" i="13"/>
  <c r="AF45" i="13" s="1"/>
  <c r="AC40" i="13"/>
  <c r="Y211" i="13"/>
  <c r="F83" i="16"/>
  <c r="I83" i="16" s="1"/>
  <c r="AC39" i="13"/>
  <c r="AC46" i="13"/>
  <c r="AC44" i="13"/>
  <c r="AF44" i="13" s="1"/>
  <c r="AC42" i="13"/>
  <c r="AE42" i="13" s="1"/>
  <c r="F62" i="5"/>
  <c r="E62" i="21" s="1"/>
  <c r="AE62" i="21" s="1"/>
  <c r="AC55" i="13"/>
  <c r="AC53" i="13"/>
  <c r="AF53" i="13" s="1"/>
  <c r="AC50" i="13"/>
  <c r="AF50" i="13" s="1"/>
  <c r="AC51" i="13"/>
  <c r="AC54" i="13"/>
  <c r="AE54" i="13" s="1"/>
  <c r="AC62" i="13"/>
  <c r="AC59" i="13"/>
  <c r="AC64" i="13"/>
  <c r="AF64" i="13" s="1"/>
  <c r="AC56" i="13"/>
  <c r="AC48" i="13"/>
  <c r="AF48" i="13" s="1"/>
  <c r="AC58" i="13"/>
  <c r="AD58" i="13" s="1"/>
  <c r="H56" i="5" s="1"/>
  <c r="G56" i="21" s="1"/>
  <c r="AC63" i="13"/>
  <c r="AC49" i="13"/>
  <c r="AC43" i="13"/>
  <c r="AF43" i="13" s="1"/>
  <c r="AC60" i="13"/>
  <c r="AD60" i="13" s="1"/>
  <c r="H58" i="5" s="1"/>
  <c r="G58" i="21" s="1"/>
  <c r="AA203" i="13"/>
  <c r="AC152" i="13"/>
  <c r="AC41" i="13"/>
  <c r="AF41" i="13" s="1"/>
  <c r="AC57" i="13"/>
  <c r="AA202" i="13"/>
  <c r="AC61" i="13"/>
  <c r="AD61" i="13" s="1"/>
  <c r="H59" i="5" s="1"/>
  <c r="G59" i="21" s="1"/>
  <c r="AC65" i="13"/>
  <c r="AC47" i="13"/>
  <c r="AC52" i="13"/>
  <c r="AD52" i="13" s="1"/>
  <c r="H51" i="5" s="1"/>
  <c r="G51" i="21" s="1"/>
  <c r="AF150" i="13"/>
  <c r="AE150" i="13"/>
  <c r="AD133" i="13"/>
  <c r="H124" i="5" s="1"/>
  <c r="AF133" i="13"/>
  <c r="V124" i="5" s="1"/>
  <c r="AF128" i="13"/>
  <c r="V119" i="5" s="1"/>
  <c r="AD128" i="13"/>
  <c r="H119" i="5" s="1"/>
  <c r="AD129" i="13"/>
  <c r="H120" i="5" s="1"/>
  <c r="AE129" i="13"/>
  <c r="AF149" i="13"/>
  <c r="AE149" i="13"/>
  <c r="AF146" i="13"/>
  <c r="V138" i="5" s="1"/>
  <c r="AD146" i="13"/>
  <c r="H138" i="5" s="1"/>
  <c r="AE140" i="13"/>
  <c r="AD140" i="13"/>
  <c r="AE132" i="13"/>
  <c r="V123" i="5" s="1"/>
  <c r="AD132" i="13"/>
  <c r="H123" i="5" s="1"/>
  <c r="AD151" i="13"/>
  <c r="H143" i="5" s="1"/>
  <c r="G143" i="21" s="1"/>
  <c r="AE151" i="13"/>
  <c r="BJ242" i="13"/>
  <c r="BG242" i="13"/>
  <c r="F26" i="16"/>
  <c r="I26" i="16" s="1"/>
  <c r="AD13" i="13"/>
  <c r="H14" i="5" s="1"/>
  <c r="G14" i="21" s="1"/>
  <c r="AE13" i="13"/>
  <c r="AF11" i="13"/>
  <c r="V12" i="5" s="1"/>
  <c r="U12" i="21" s="1"/>
  <c r="AE25" i="13"/>
  <c r="AF24" i="13"/>
  <c r="AD24" i="13"/>
  <c r="H25" i="5" s="1"/>
  <c r="G25" i="21" s="1"/>
  <c r="AE24" i="13"/>
  <c r="AD23" i="13"/>
  <c r="H24" i="5" s="1"/>
  <c r="G24" i="21" s="1"/>
  <c r="AE23" i="13"/>
  <c r="AF23" i="13"/>
  <c r="H26" i="5"/>
  <c r="G26" i="21" s="1"/>
  <c r="AD28" i="13"/>
  <c r="H29" i="5" s="1"/>
  <c r="G29" i="21" s="1"/>
  <c r="AF230" i="13"/>
  <c r="V223" i="5" s="1"/>
  <c r="U223" i="21" s="1"/>
  <c r="AD230" i="13"/>
  <c r="H223" i="5" s="1"/>
  <c r="G223" i="21" s="1"/>
  <c r="AE57" i="13"/>
  <c r="AD57" i="13"/>
  <c r="AF57" i="13"/>
  <c r="AF47" i="13"/>
  <c r="AD47" i="13"/>
  <c r="AE47" i="13"/>
  <c r="AF21" i="13"/>
  <c r="AE14" i="13"/>
  <c r="AF14" i="13"/>
  <c r="AE21" i="13"/>
  <c r="AE32" i="13"/>
  <c r="AF32" i="13"/>
  <c r="AE224" i="13"/>
  <c r="V217" i="5" s="1"/>
  <c r="AD20" i="13"/>
  <c r="H21" i="5" s="1"/>
  <c r="G21" i="21" s="1"/>
  <c r="AD224" i="13"/>
  <c r="H217" i="5" s="1"/>
  <c r="AF31" i="13"/>
  <c r="V32" i="5" s="1"/>
  <c r="U32" i="21" s="1"/>
  <c r="AD31" i="13"/>
  <c r="H32" i="5" s="1"/>
  <c r="G32" i="21" s="1"/>
  <c r="AF15" i="13"/>
  <c r="AF22" i="13"/>
  <c r="AE15" i="13"/>
  <c r="AE22" i="13"/>
  <c r="O23" i="5" s="1"/>
  <c r="N23" i="21" s="1"/>
  <c r="AF33" i="13"/>
  <c r="AE33" i="13"/>
  <c r="AF25" i="13"/>
  <c r="AE28" i="13"/>
  <c r="AE17" i="13"/>
  <c r="AF12" i="13"/>
  <c r="V13" i="5" s="1"/>
  <c r="U13" i="21" s="1"/>
  <c r="AF17" i="13"/>
  <c r="AF18" i="13"/>
  <c r="V19" i="5" s="1"/>
  <c r="U19" i="21" s="1"/>
  <c r="AD18" i="13"/>
  <c r="H19" i="5" s="1"/>
  <c r="G19" i="21" s="1"/>
  <c r="AF20" i="13"/>
  <c r="V21" i="5" s="1"/>
  <c r="U21" i="21" s="1"/>
  <c r="AE12" i="13"/>
  <c r="AE27" i="13"/>
  <c r="V28" i="5" s="1"/>
  <c r="U28" i="21" s="1"/>
  <c r="AD27" i="13"/>
  <c r="H28" i="5" s="1"/>
  <c r="G28" i="21" s="1"/>
  <c r="AF29" i="13"/>
  <c r="AE29" i="13"/>
  <c r="AC36" i="13"/>
  <c r="AE115" i="13"/>
  <c r="H109" i="5"/>
  <c r="AE121" i="13"/>
  <c r="V131" i="5"/>
  <c r="AE165" i="13"/>
  <c r="AD165" i="13"/>
  <c r="AF165" i="13"/>
  <c r="O127" i="5"/>
  <c r="H141" i="5"/>
  <c r="I43" i="16"/>
  <c r="F49" i="16"/>
  <c r="I49" i="16" s="1"/>
  <c r="H137" i="5"/>
  <c r="AC105" i="13"/>
  <c r="AC100" i="13"/>
  <c r="AC109" i="13"/>
  <c r="AC107" i="13"/>
  <c r="AC106" i="13"/>
  <c r="AC108" i="13"/>
  <c r="AC104" i="13"/>
  <c r="AC103" i="13"/>
  <c r="AC102" i="13"/>
  <c r="AC101" i="13"/>
  <c r="F100" i="5"/>
  <c r="G39" i="11"/>
  <c r="L39" i="11" s="1"/>
  <c r="AE26" i="11" s="1"/>
  <c r="H39" i="11"/>
  <c r="AD113" i="13"/>
  <c r="H105" i="5"/>
  <c r="BD219" i="13"/>
  <c r="I212" i="5" s="1"/>
  <c r="BD217" i="13"/>
  <c r="I210" i="5" s="1"/>
  <c r="H211" i="21" s="1"/>
  <c r="BD229" i="13"/>
  <c r="I222" i="5" s="1"/>
  <c r="BD227" i="13"/>
  <c r="I220" i="5" s="1"/>
  <c r="AE228" i="13"/>
  <c r="AF228" i="13"/>
  <c r="AD228" i="13"/>
  <c r="H221" i="5" s="1"/>
  <c r="G221" i="21" s="1"/>
  <c r="AD227" i="13"/>
  <c r="H220" i="5" s="1"/>
  <c r="AE218" i="13"/>
  <c r="AD218" i="13"/>
  <c r="H211" i="5" s="1"/>
  <c r="AF218" i="13"/>
  <c r="AD223" i="13"/>
  <c r="H216" i="5" s="1"/>
  <c r="AF223" i="13"/>
  <c r="AE223" i="13"/>
  <c r="AF219" i="13"/>
  <c r="AE227" i="13"/>
  <c r="AF222" i="13"/>
  <c r="AD222" i="13"/>
  <c r="H215" i="5" s="1"/>
  <c r="AE222" i="13"/>
  <c r="AD225" i="13"/>
  <c r="H218" i="5" s="1"/>
  <c r="AF225" i="13"/>
  <c r="AE225" i="13"/>
  <c r="AD219" i="13"/>
  <c r="H212" i="5" s="1"/>
  <c r="AF221" i="13"/>
  <c r="AD221" i="13"/>
  <c r="H214" i="5" s="1"/>
  <c r="AE221" i="13"/>
  <c r="O214" i="5" s="1"/>
  <c r="AD220" i="13"/>
  <c r="H213" i="5" s="1"/>
  <c r="AE220" i="13"/>
  <c r="AF220" i="13"/>
  <c r="V213" i="5" s="1"/>
  <c r="AF217" i="13"/>
  <c r="V210" i="5" s="1"/>
  <c r="AE219" i="13"/>
  <c r="AC231" i="13"/>
  <c r="AF226" i="13"/>
  <c r="AE226" i="13"/>
  <c r="AD226" i="13"/>
  <c r="H219" i="5" s="1"/>
  <c r="AD217" i="13"/>
  <c r="O12" i="5"/>
  <c r="N12" i="21" s="1"/>
  <c r="J11" i="21"/>
  <c r="AF11" i="21" s="1"/>
  <c r="AC224" i="5"/>
  <c r="AF49" i="13" l="1"/>
  <c r="U131" i="21"/>
  <c r="AH46" i="13"/>
  <c r="AH66" i="13" s="1"/>
  <c r="I62" i="5" s="1"/>
  <c r="H62" i="21" s="1"/>
  <c r="BD235" i="13"/>
  <c r="BH302" i="13"/>
  <c r="BQ297" i="13" s="1"/>
  <c r="AC41" i="11" s="1"/>
  <c r="BI49" i="13"/>
  <c r="BJ49" i="13" s="1"/>
  <c r="W48" i="5" s="1"/>
  <c r="V48" i="21" s="1"/>
  <c r="BS49" i="13"/>
  <c r="BJ235" i="13"/>
  <c r="W46" i="5" s="1"/>
  <c r="V46" i="21" s="1"/>
  <c r="BJ302" i="13"/>
  <c r="BS297" i="13" s="1"/>
  <c r="AE41" i="11" s="1"/>
  <c r="AJ46" i="13"/>
  <c r="AJ66" i="13" s="1"/>
  <c r="H37" i="11" s="1"/>
  <c r="I37" i="11" s="1"/>
  <c r="M37" i="11" s="1"/>
  <c r="AF24" i="11" s="1"/>
  <c r="BF49" i="13"/>
  <c r="BR49" i="13"/>
  <c r="AI46" i="13"/>
  <c r="AI66" i="13" s="1"/>
  <c r="P62" i="5" s="1"/>
  <c r="O62" i="21" s="1"/>
  <c r="BC49" i="13"/>
  <c r="BQ49" i="13"/>
  <c r="BQ255" i="13" s="1"/>
  <c r="BQ256" i="13" s="1"/>
  <c r="AE187" i="21"/>
  <c r="E190" i="21"/>
  <c r="H219" i="21"/>
  <c r="H222" i="21"/>
  <c r="G213" i="21"/>
  <c r="AE113" i="13"/>
  <c r="O103" i="5" s="1"/>
  <c r="N103" i="21" s="1"/>
  <c r="AE191" i="21"/>
  <c r="H213" i="21"/>
  <c r="G215" i="21"/>
  <c r="G217" i="21"/>
  <c r="V105" i="5"/>
  <c r="U210" i="21"/>
  <c r="G214" i="21"/>
  <c r="G216" i="21"/>
  <c r="G212" i="21"/>
  <c r="H148" i="21"/>
  <c r="V164" i="21"/>
  <c r="V167" i="21"/>
  <c r="G123" i="21"/>
  <c r="G110" i="21"/>
  <c r="G220" i="21"/>
  <c r="O148" i="21"/>
  <c r="O164" i="21"/>
  <c r="O167" i="21"/>
  <c r="H217" i="21"/>
  <c r="H220" i="21"/>
  <c r="V69" i="21"/>
  <c r="V71" i="21"/>
  <c r="H212" i="21"/>
  <c r="G139" i="21"/>
  <c r="G127" i="21"/>
  <c r="V148" i="21"/>
  <c r="G133" i="21"/>
  <c r="G218" i="21"/>
  <c r="H210" i="21"/>
  <c r="G119" i="21"/>
  <c r="G137" i="21"/>
  <c r="U133" i="21"/>
  <c r="V171" i="21"/>
  <c r="V174" i="21"/>
  <c r="G219" i="21"/>
  <c r="H104" i="21"/>
  <c r="H106" i="21"/>
  <c r="U132" i="21"/>
  <c r="H171" i="21"/>
  <c r="H174" i="21"/>
  <c r="U123" i="21"/>
  <c r="O171" i="21"/>
  <c r="O174" i="21"/>
  <c r="V87" i="21"/>
  <c r="V88" i="21"/>
  <c r="AD117" i="13"/>
  <c r="BQ293" i="13"/>
  <c r="AC37" i="11" s="1"/>
  <c r="AC201" i="5"/>
  <c r="AC206" i="5"/>
  <c r="AE203" i="21"/>
  <c r="AC203" i="5"/>
  <c r="E200" i="21"/>
  <c r="AE200" i="21" s="1"/>
  <c r="AC100" i="5"/>
  <c r="E100" i="21"/>
  <c r="AE100" i="21" s="1"/>
  <c r="BJ305" i="13"/>
  <c r="BS300" i="13" s="1"/>
  <c r="AA191" i="21"/>
  <c r="AA144" i="21"/>
  <c r="AA96" i="21"/>
  <c r="AH97" i="21"/>
  <c r="AE64" i="13"/>
  <c r="AE63" i="13" s="1"/>
  <c r="BQ294" i="13"/>
  <c r="AC38" i="11" s="1"/>
  <c r="I35" i="5"/>
  <c r="H35" i="21" s="1"/>
  <c r="H45" i="11"/>
  <c r="I45" i="11" s="1"/>
  <c r="M45" i="11" s="1"/>
  <c r="AF32" i="11" s="1"/>
  <c r="AF161" i="13"/>
  <c r="V154" i="5" s="1"/>
  <c r="U154" i="21" s="1"/>
  <c r="I27" i="3"/>
  <c r="AD156" i="13"/>
  <c r="AD155" i="13" s="1"/>
  <c r="AE158" i="13"/>
  <c r="O151" i="5" s="1"/>
  <c r="N151" i="21" s="1"/>
  <c r="AF158" i="13"/>
  <c r="V151" i="5" s="1"/>
  <c r="U151" i="21" s="1"/>
  <c r="AE163" i="13"/>
  <c r="AE162" i="13" s="1"/>
  <c r="AD64" i="13"/>
  <c r="AD63" i="13" s="1"/>
  <c r="AF163" i="13"/>
  <c r="AF162" i="13" s="1"/>
  <c r="F36" i="11"/>
  <c r="G36" i="11" s="1"/>
  <c r="L36" i="11" s="1"/>
  <c r="AE23" i="11" s="1"/>
  <c r="AC190" i="5"/>
  <c r="AE156" i="13"/>
  <c r="O149" i="5" s="1"/>
  <c r="AE161" i="13"/>
  <c r="AE160" i="13" s="1"/>
  <c r="AF194" i="13"/>
  <c r="V187" i="5" s="1"/>
  <c r="U187" i="21" s="1"/>
  <c r="P144" i="5"/>
  <c r="O144" i="21" s="1"/>
  <c r="AI202" i="13"/>
  <c r="AH202" i="13"/>
  <c r="AJ202" i="13"/>
  <c r="BJ323" i="13"/>
  <c r="BS312" i="13" s="1"/>
  <c r="AE56" i="11" s="1"/>
  <c r="AJ203" i="13"/>
  <c r="AI203" i="13"/>
  <c r="AH203" i="13"/>
  <c r="BS294" i="13"/>
  <c r="AE38" i="11" s="1"/>
  <c r="BI321" i="13"/>
  <c r="BR310" i="13" s="1"/>
  <c r="AD54" i="11" s="1"/>
  <c r="O34" i="5"/>
  <c r="N34" i="21" s="1"/>
  <c r="O210" i="5"/>
  <c r="O218" i="5"/>
  <c r="O141" i="5"/>
  <c r="O113" i="5"/>
  <c r="BI323" i="13"/>
  <c r="BR312" i="13" s="1"/>
  <c r="AD56" i="11" s="1"/>
  <c r="O33" i="5"/>
  <c r="N33" i="21" s="1"/>
  <c r="O22" i="5"/>
  <c r="N22" i="21" s="1"/>
  <c r="AD194" i="13"/>
  <c r="H187" i="5" s="1"/>
  <c r="G187" i="21" s="1"/>
  <c r="BR294" i="13"/>
  <c r="AD38" i="11" s="1"/>
  <c r="O26" i="5"/>
  <c r="N26" i="21" s="1"/>
  <c r="O187" i="5"/>
  <c r="N187" i="21" s="1"/>
  <c r="O18" i="5"/>
  <c r="N18" i="21" s="1"/>
  <c r="BI324" i="13"/>
  <c r="BR313" i="13" s="1"/>
  <c r="AD57" i="11" s="1"/>
  <c r="BJ304" i="13"/>
  <c r="BS299" i="13" s="1"/>
  <c r="AE43" i="11" s="1"/>
  <c r="O30" i="5"/>
  <c r="N30" i="21" s="1"/>
  <c r="BJ303" i="13"/>
  <c r="BS298" i="13" s="1"/>
  <c r="AE42" i="11" s="1"/>
  <c r="O142" i="5"/>
  <c r="N142" i="21" s="1"/>
  <c r="BH307" i="13"/>
  <c r="BQ302" i="13" s="1"/>
  <c r="AC46" i="11" s="1"/>
  <c r="O13" i="5"/>
  <c r="N13" i="21" s="1"/>
  <c r="O16" i="5"/>
  <c r="N16" i="21" s="1"/>
  <c r="O15" i="5"/>
  <c r="N15" i="21" s="1"/>
  <c r="P87" i="5"/>
  <c r="BI305" i="13"/>
  <c r="BR300" i="13" s="1"/>
  <c r="I87" i="5"/>
  <c r="BH305" i="13"/>
  <c r="BQ300" i="13" s="1"/>
  <c r="AF44" i="11" s="1"/>
  <c r="H107" i="5"/>
  <c r="AD181" i="13"/>
  <c r="H174" i="5" s="1"/>
  <c r="AF157" i="13"/>
  <c r="V150" i="5" s="1"/>
  <c r="U150" i="21" s="1"/>
  <c r="W144" i="5"/>
  <c r="V144" i="21" s="1"/>
  <c r="AE192" i="13"/>
  <c r="AF195" i="13"/>
  <c r="V188" i="5" s="1"/>
  <c r="U188" i="21" s="1"/>
  <c r="AD195" i="13"/>
  <c r="H188" i="5" s="1"/>
  <c r="G188" i="21" s="1"/>
  <c r="D37" i="11"/>
  <c r="E37" i="11" s="1"/>
  <c r="K37" i="11" s="1"/>
  <c r="AD24" i="11" s="1"/>
  <c r="F45" i="11"/>
  <c r="G45" i="11" s="1"/>
  <c r="L45" i="11" s="1"/>
  <c r="AE32" i="11" s="1"/>
  <c r="O110" i="5"/>
  <c r="N110" i="21" s="1"/>
  <c r="V109" i="5"/>
  <c r="U110" i="21" s="1"/>
  <c r="D41" i="11"/>
  <c r="E41" i="11" s="1"/>
  <c r="K41" i="11" s="1"/>
  <c r="AD28" i="11" s="1"/>
  <c r="H36" i="11"/>
  <c r="I36" i="11" s="1"/>
  <c r="M36" i="11" s="1"/>
  <c r="AF23" i="11" s="1"/>
  <c r="O25" i="5"/>
  <c r="N25" i="21" s="1"/>
  <c r="V219" i="5"/>
  <c r="O219" i="5"/>
  <c r="V141" i="5"/>
  <c r="U139" i="21" s="1"/>
  <c r="O222" i="5"/>
  <c r="N222" i="21" s="1"/>
  <c r="O133" i="5"/>
  <c r="AC166" i="13"/>
  <c r="O107" i="5"/>
  <c r="O123" i="5"/>
  <c r="V215" i="5"/>
  <c r="O21" i="5"/>
  <c r="N21" i="21" s="1"/>
  <c r="V212" i="5"/>
  <c r="O143" i="5"/>
  <c r="N143" i="21" s="1"/>
  <c r="O128" i="5"/>
  <c r="V107" i="5"/>
  <c r="AE157" i="13"/>
  <c r="O150" i="5" s="1"/>
  <c r="N150" i="21" s="1"/>
  <c r="AF181" i="13"/>
  <c r="V174" i="5" s="1"/>
  <c r="AF188" i="13"/>
  <c r="V181" i="5" s="1"/>
  <c r="AD188" i="13"/>
  <c r="AD187" i="13" s="1"/>
  <c r="H180" i="5" s="1"/>
  <c r="I224" i="5"/>
  <c r="H224" i="21" s="1"/>
  <c r="AE185" i="13"/>
  <c r="V178" i="5" s="1"/>
  <c r="AD185" i="13"/>
  <c r="H178" i="5" s="1"/>
  <c r="AF186" i="13"/>
  <c r="V179" i="5" s="1"/>
  <c r="AD186" i="13"/>
  <c r="H179" i="5" s="1"/>
  <c r="AF196" i="13"/>
  <c r="V189" i="5" s="1"/>
  <c r="U189" i="21" s="1"/>
  <c r="AD196" i="13"/>
  <c r="H189" i="5" s="1"/>
  <c r="G189" i="21" s="1"/>
  <c r="V113" i="5"/>
  <c r="AD178" i="13"/>
  <c r="H171" i="5" s="1"/>
  <c r="AE182" i="13"/>
  <c r="AE179" i="13" s="1"/>
  <c r="AJ211" i="13"/>
  <c r="AI211" i="13"/>
  <c r="AH211" i="13"/>
  <c r="AF182" i="13"/>
  <c r="V175" i="5" s="1"/>
  <c r="H113" i="5"/>
  <c r="AF177" i="13"/>
  <c r="AD174" i="13"/>
  <c r="H168" i="5" s="1"/>
  <c r="AE191" i="13"/>
  <c r="AE189" i="13" s="1"/>
  <c r="AF138" i="13"/>
  <c r="V129" i="5" s="1"/>
  <c r="AF174" i="13"/>
  <c r="V168" i="5" s="1"/>
  <c r="AE138" i="13"/>
  <c r="AE117" i="13"/>
  <c r="O108" i="5" s="1"/>
  <c r="BC250" i="13"/>
  <c r="I152" i="5" s="1"/>
  <c r="H152" i="21" s="1"/>
  <c r="BI250" i="13"/>
  <c r="BJ319" i="13" s="1"/>
  <c r="BS309" i="13" s="1"/>
  <c r="AE53" i="11" s="1"/>
  <c r="BF250" i="13"/>
  <c r="BI319" i="13" s="1"/>
  <c r="BR309" i="13" s="1"/>
  <c r="AD53" i="11" s="1"/>
  <c r="AD170" i="13"/>
  <c r="AD169" i="13" s="1"/>
  <c r="H162" i="5" s="1"/>
  <c r="F90" i="16"/>
  <c r="I90" i="16" s="1"/>
  <c r="F204" i="5"/>
  <c r="E204" i="21" s="1"/>
  <c r="AD173" i="13"/>
  <c r="H167" i="5" s="1"/>
  <c r="AF170" i="13"/>
  <c r="V163" i="5" s="1"/>
  <c r="AE173" i="13"/>
  <c r="AD191" i="13"/>
  <c r="AD189" i="13" s="1"/>
  <c r="H182" i="5" s="1"/>
  <c r="G182" i="21" s="1"/>
  <c r="AC197" i="13"/>
  <c r="F196" i="5"/>
  <c r="O216" i="5"/>
  <c r="V108" i="5"/>
  <c r="V137" i="5"/>
  <c r="V106" i="5"/>
  <c r="U105" i="21" s="1"/>
  <c r="V34" i="5"/>
  <c r="U34" i="21" s="1"/>
  <c r="O221" i="5"/>
  <c r="N221" i="21" s="1"/>
  <c r="O174" i="5"/>
  <c r="AE44" i="13"/>
  <c r="V43" i="5" s="1"/>
  <c r="U43" i="21" s="1"/>
  <c r="O32" i="5"/>
  <c r="N32" i="21" s="1"/>
  <c r="V103" i="5"/>
  <c r="U103" i="21" s="1"/>
  <c r="O211" i="5"/>
  <c r="V218" i="5"/>
  <c r="O212" i="5"/>
  <c r="V25" i="5"/>
  <c r="U25" i="21" s="1"/>
  <c r="V30" i="5"/>
  <c r="U30" i="21" s="1"/>
  <c r="O124" i="5"/>
  <c r="V142" i="5"/>
  <c r="U142" i="21" s="1"/>
  <c r="V23" i="5"/>
  <c r="U23" i="21" s="1"/>
  <c r="V22" i="5"/>
  <c r="U22" i="21" s="1"/>
  <c r="O24" i="5"/>
  <c r="N24" i="21" s="1"/>
  <c r="O120" i="5"/>
  <c r="V18" i="5"/>
  <c r="O213" i="5"/>
  <c r="O220" i="5"/>
  <c r="V128" i="5"/>
  <c r="V216" i="5"/>
  <c r="V16" i="5"/>
  <c r="U16" i="21" s="1"/>
  <c r="V167" i="5"/>
  <c r="V214" i="5"/>
  <c r="O19" i="5"/>
  <c r="N19" i="21" s="1"/>
  <c r="V143" i="5"/>
  <c r="U143" i="21" s="1"/>
  <c r="O139" i="5"/>
  <c r="V211" i="5"/>
  <c r="O29" i="5"/>
  <c r="N29" i="21" s="1"/>
  <c r="O223" i="5"/>
  <c r="N223" i="21" s="1"/>
  <c r="AF42" i="13"/>
  <c r="V41" i="5" s="1"/>
  <c r="U41" i="21" s="1"/>
  <c r="AE48" i="13"/>
  <c r="V220" i="5"/>
  <c r="O138" i="5"/>
  <c r="O106" i="5"/>
  <c r="N105" i="21" s="1"/>
  <c r="O28" i="5"/>
  <c r="N28" i="21" s="1"/>
  <c r="AD48" i="13"/>
  <c r="H47" i="5" s="1"/>
  <c r="G47" i="21" s="1"/>
  <c r="O217" i="5"/>
  <c r="O119" i="5"/>
  <c r="V120" i="5"/>
  <c r="O132" i="5"/>
  <c r="O215" i="5"/>
  <c r="V33" i="5"/>
  <c r="U33" i="21" s="1"/>
  <c r="O14" i="5"/>
  <c r="N14" i="21" s="1"/>
  <c r="O189" i="5"/>
  <c r="N189" i="21" s="1"/>
  <c r="V14" i="5"/>
  <c r="U14" i="21" s="1"/>
  <c r="V29" i="5"/>
  <c r="U29" i="21" s="1"/>
  <c r="V221" i="5"/>
  <c r="U221" i="21" s="1"/>
  <c r="AD138" i="13"/>
  <c r="H129" i="5" s="1"/>
  <c r="G128" i="21" s="1"/>
  <c r="AE134" i="13"/>
  <c r="AF134" i="13"/>
  <c r="O137" i="5"/>
  <c r="AF178" i="13"/>
  <c r="BS178" i="13"/>
  <c r="AE178" i="13"/>
  <c r="BR178" i="13"/>
  <c r="AD53" i="13"/>
  <c r="H52" i="5" s="1"/>
  <c r="G52" i="21" s="1"/>
  <c r="AE49" i="13"/>
  <c r="AE53" i="13"/>
  <c r="AD49" i="13"/>
  <c r="H48" i="5" s="1"/>
  <c r="G48" i="21" s="1"/>
  <c r="AE52" i="13"/>
  <c r="AD44" i="13"/>
  <c r="H43" i="5" s="1"/>
  <c r="G43" i="21" s="1"/>
  <c r="AD134" i="13"/>
  <c r="H125" i="5" s="1"/>
  <c r="G124" i="21" s="1"/>
  <c r="AD45" i="13"/>
  <c r="H44" i="5" s="1"/>
  <c r="G44" i="21" s="1"/>
  <c r="AE45" i="13"/>
  <c r="AD50" i="13"/>
  <c r="H49" i="5" s="1"/>
  <c r="G49" i="21" s="1"/>
  <c r="F197" i="5"/>
  <c r="AC66" i="13"/>
  <c r="AF60" i="13"/>
  <c r="AE60" i="13"/>
  <c r="AD41" i="13"/>
  <c r="H40" i="5" s="1"/>
  <c r="G40" i="21" s="1"/>
  <c r="AE41" i="13"/>
  <c r="AA200" i="13"/>
  <c r="AD42" i="13"/>
  <c r="H41" i="5" s="1"/>
  <c r="G41" i="21" s="1"/>
  <c r="AF130" i="13"/>
  <c r="AD130" i="13"/>
  <c r="H121" i="5" s="1"/>
  <c r="G120" i="21" s="1"/>
  <c r="AE130" i="13"/>
  <c r="AC62" i="5"/>
  <c r="AE61" i="13"/>
  <c r="O59" i="5" s="1"/>
  <c r="N59" i="21" s="1"/>
  <c r="AD126" i="13"/>
  <c r="H117" i="5" s="1"/>
  <c r="G117" i="21" s="1"/>
  <c r="AD56" i="13"/>
  <c r="AF58" i="13"/>
  <c r="AE58" i="13"/>
  <c r="AF61" i="13"/>
  <c r="AD54" i="13"/>
  <c r="H53" i="5" s="1"/>
  <c r="G53" i="21" s="1"/>
  <c r="AF54" i="13"/>
  <c r="V53" i="5" s="1"/>
  <c r="U53" i="21" s="1"/>
  <c r="AF52" i="13"/>
  <c r="AE50" i="13"/>
  <c r="V49" i="5" s="1"/>
  <c r="U49" i="21" s="1"/>
  <c r="AD43" i="13"/>
  <c r="H42" i="5" s="1"/>
  <c r="G42" i="21" s="1"/>
  <c r="AE43" i="13"/>
  <c r="AD59" i="13"/>
  <c r="AF144" i="13"/>
  <c r="V135" i="5" s="1"/>
  <c r="U134" i="21" s="1"/>
  <c r="AF126" i="13"/>
  <c r="AF46" i="13"/>
  <c r="Y200" i="13"/>
  <c r="AE126" i="13"/>
  <c r="AE148" i="13"/>
  <c r="AF148" i="13"/>
  <c r="AD144" i="13"/>
  <c r="H135" i="5" s="1"/>
  <c r="G134" i="21" s="1"/>
  <c r="H131" i="5"/>
  <c r="G132" i="21" s="1"/>
  <c r="O131" i="5"/>
  <c r="AD148" i="13"/>
  <c r="H140" i="5" s="1"/>
  <c r="G141" i="21" s="1"/>
  <c r="AJ175" i="13"/>
  <c r="AJ197" i="13" s="1"/>
  <c r="AD177" i="13"/>
  <c r="H170" i="5" s="1"/>
  <c r="AH175" i="13"/>
  <c r="AH197" i="13" s="1"/>
  <c r="AI175" i="13"/>
  <c r="AI197" i="13" s="1"/>
  <c r="AE177" i="13"/>
  <c r="V15" i="5"/>
  <c r="U15" i="21" s="1"/>
  <c r="AD10" i="13"/>
  <c r="H11" i="5" s="1"/>
  <c r="V24" i="5"/>
  <c r="U24" i="21" s="1"/>
  <c r="V26" i="5"/>
  <c r="U26" i="21" s="1"/>
  <c r="AD162" i="13"/>
  <c r="H156" i="5"/>
  <c r="G156" i="21" s="1"/>
  <c r="AE104" i="13"/>
  <c r="AF104" i="13"/>
  <c r="AD104" i="13"/>
  <c r="AE16" i="13"/>
  <c r="AD30" i="13"/>
  <c r="H31" i="5" s="1"/>
  <c r="G31" i="21" s="1"/>
  <c r="AF63" i="13"/>
  <c r="V61" i="5"/>
  <c r="U61" i="21" s="1"/>
  <c r="AD19" i="13"/>
  <c r="H20" i="5" s="1"/>
  <c r="G20" i="21" s="1"/>
  <c r="AF30" i="13"/>
  <c r="AF10" i="13"/>
  <c r="AD26" i="13"/>
  <c r="H27" i="5" s="1"/>
  <c r="G27" i="21" s="1"/>
  <c r="AE19" i="13"/>
  <c r="AF16" i="13"/>
  <c r="AD16" i="13"/>
  <c r="H17" i="5" s="1"/>
  <c r="G17" i="21" s="1"/>
  <c r="AF26" i="13"/>
  <c r="AE30" i="13"/>
  <c r="AF19" i="13"/>
  <c r="AE10" i="13"/>
  <c r="AE26" i="13"/>
  <c r="I39" i="11"/>
  <c r="M39" i="11" s="1"/>
  <c r="AF26" i="11" s="1"/>
  <c r="E39" i="11"/>
  <c r="K39" i="11" s="1"/>
  <c r="AD26" i="11" s="1"/>
  <c r="AF164" i="13"/>
  <c r="V158" i="5"/>
  <c r="U158" i="21" s="1"/>
  <c r="AC110" i="13"/>
  <c r="AD164" i="13"/>
  <c r="H158" i="5"/>
  <c r="G158" i="21" s="1"/>
  <c r="AD160" i="13"/>
  <c r="H154" i="5"/>
  <c r="G154" i="21" s="1"/>
  <c r="AD105" i="13"/>
  <c r="AE105" i="13"/>
  <c r="AF105" i="13"/>
  <c r="AE164" i="13"/>
  <c r="O158" i="5"/>
  <c r="N158" i="21" s="1"/>
  <c r="AE101" i="13"/>
  <c r="AD101" i="13"/>
  <c r="AF101" i="13"/>
  <c r="V149" i="5"/>
  <c r="AD102" i="13"/>
  <c r="H96" i="5" s="1"/>
  <c r="AF102" i="13"/>
  <c r="AE102" i="13"/>
  <c r="V195" i="5"/>
  <c r="AE231" i="13"/>
  <c r="AF231" i="13"/>
  <c r="V224" i="5" s="1"/>
  <c r="U224" i="21" s="1"/>
  <c r="AD231" i="13"/>
  <c r="H224" i="5" s="1"/>
  <c r="G224" i="21" s="1"/>
  <c r="H11" i="21"/>
  <c r="H210" i="5"/>
  <c r="G211" i="21" s="1"/>
  <c r="W62" i="5" l="1"/>
  <c r="V62" i="21" s="1"/>
  <c r="F37" i="11"/>
  <c r="G37" i="11" s="1"/>
  <c r="L37" i="11" s="1"/>
  <c r="AE24" i="11" s="1"/>
  <c r="BD49" i="13"/>
  <c r="I48" i="5" s="1"/>
  <c r="H48" i="21" s="1"/>
  <c r="BH303" i="13"/>
  <c r="BQ298" i="13" s="1"/>
  <c r="AC42" i="11" s="1"/>
  <c r="BG49" i="13"/>
  <c r="P48" i="5" s="1"/>
  <c r="O48" i="21" s="1"/>
  <c r="BI303" i="13"/>
  <c r="BR298" i="13" s="1"/>
  <c r="AD42" i="11" s="1"/>
  <c r="I46" i="5"/>
  <c r="H46" i="21" s="1"/>
  <c r="I234" i="5"/>
  <c r="N131" i="21"/>
  <c r="G129" i="21"/>
  <c r="U113" i="21"/>
  <c r="G125" i="21"/>
  <c r="U128" i="21"/>
  <c r="G135" i="21"/>
  <c r="N113" i="21"/>
  <c r="G113" i="21"/>
  <c r="G121" i="21"/>
  <c r="U135" i="21"/>
  <c r="G131" i="21"/>
  <c r="N106" i="21"/>
  <c r="U106" i="21"/>
  <c r="N214" i="21"/>
  <c r="E197" i="21"/>
  <c r="AE197" i="21" s="1"/>
  <c r="E196" i="21"/>
  <c r="AE196" i="21" s="1"/>
  <c r="AC196" i="5"/>
  <c r="E198" i="21"/>
  <c r="AE198" i="21" s="1"/>
  <c r="U213" i="21"/>
  <c r="U164" i="21"/>
  <c r="G175" i="21"/>
  <c r="U217" i="21"/>
  <c r="N218" i="21"/>
  <c r="N219" i="21"/>
  <c r="AF160" i="13"/>
  <c r="N220" i="21"/>
  <c r="U218" i="21"/>
  <c r="N210" i="21"/>
  <c r="BR255" i="13"/>
  <c r="BR256" i="13" s="1"/>
  <c r="BS255" i="13"/>
  <c r="BS256" i="13" s="1"/>
  <c r="U211" i="21"/>
  <c r="U107" i="21"/>
  <c r="N109" i="21"/>
  <c r="U137" i="21"/>
  <c r="H87" i="21"/>
  <c r="H88" i="21"/>
  <c r="U127" i="21"/>
  <c r="U129" i="21"/>
  <c r="N213" i="21"/>
  <c r="G180" i="21"/>
  <c r="G167" i="21"/>
  <c r="G138" i="21"/>
  <c r="G140" i="21"/>
  <c r="N149" i="21"/>
  <c r="N212" i="21"/>
  <c r="N217" i="21"/>
  <c r="U215" i="21"/>
  <c r="H149" i="21"/>
  <c r="U178" i="21"/>
  <c r="O87" i="21"/>
  <c r="O88" i="21"/>
  <c r="G122" i="21"/>
  <c r="G130" i="21"/>
  <c r="N107" i="21"/>
  <c r="U174" i="21"/>
  <c r="N132" i="21"/>
  <c r="U119" i="21"/>
  <c r="G168" i="21"/>
  <c r="G118" i="21"/>
  <c r="N137" i="21"/>
  <c r="N119" i="21"/>
  <c r="G179" i="21"/>
  <c r="N133" i="21"/>
  <c r="N211" i="21"/>
  <c r="U136" i="21"/>
  <c r="N216" i="21"/>
  <c r="N174" i="21"/>
  <c r="N127" i="21"/>
  <c r="U216" i="21"/>
  <c r="U220" i="21"/>
  <c r="U104" i="21"/>
  <c r="G210" i="21"/>
  <c r="N104" i="21"/>
  <c r="G171" i="21"/>
  <c r="G174" i="21"/>
  <c r="N139" i="21"/>
  <c r="U219" i="21"/>
  <c r="U149" i="21"/>
  <c r="N123" i="21"/>
  <c r="N215" i="21"/>
  <c r="U109" i="21"/>
  <c r="G126" i="21"/>
  <c r="U175" i="21"/>
  <c r="U212" i="21"/>
  <c r="U108" i="21"/>
  <c r="N108" i="21"/>
  <c r="U214" i="21"/>
  <c r="G136" i="21"/>
  <c r="U130" i="21"/>
  <c r="H149" i="5"/>
  <c r="AF155" i="13"/>
  <c r="V147" i="5" s="1"/>
  <c r="AC204" i="5"/>
  <c r="E201" i="21"/>
  <c r="AE201" i="21" s="1"/>
  <c r="AC197" i="5"/>
  <c r="Y37" i="21"/>
  <c r="U18" i="21"/>
  <c r="H61" i="5"/>
  <c r="G61" i="21" s="1"/>
  <c r="O61" i="5"/>
  <c r="N61" i="21" s="1"/>
  <c r="I11" i="21"/>
  <c r="G11" i="21"/>
  <c r="AF183" i="13"/>
  <c r="V176" i="5" s="1"/>
  <c r="V170" i="5"/>
  <c r="AD179" i="13"/>
  <c r="H172" i="5" s="1"/>
  <c r="O156" i="5"/>
  <c r="N156" i="21" s="1"/>
  <c r="V156" i="5"/>
  <c r="U156" i="21" s="1"/>
  <c r="O154" i="5"/>
  <c r="N154" i="21" s="1"/>
  <c r="I24" i="3"/>
  <c r="O184" i="5"/>
  <c r="N184" i="21" s="1"/>
  <c r="AE155" i="13"/>
  <c r="O147" i="5" s="1"/>
  <c r="N148" i="21" s="1"/>
  <c r="AD192" i="13"/>
  <c r="H185" i="5" s="1"/>
  <c r="G185" i="21" s="1"/>
  <c r="H184" i="5"/>
  <c r="G184" i="21" s="1"/>
  <c r="O51" i="5"/>
  <c r="N51" i="21" s="1"/>
  <c r="O56" i="5"/>
  <c r="N56" i="21" s="1"/>
  <c r="AF192" i="13"/>
  <c r="V185" i="5" s="1"/>
  <c r="U185" i="21" s="1"/>
  <c r="O171" i="5"/>
  <c r="AB44" i="11"/>
  <c r="AC44" i="11"/>
  <c r="AD44" i="11"/>
  <c r="AE44" i="11"/>
  <c r="O188" i="5"/>
  <c r="N188" i="21" s="1"/>
  <c r="O58" i="5"/>
  <c r="N58" i="21" s="1"/>
  <c r="O175" i="5"/>
  <c r="H181" i="5"/>
  <c r="G178" i="21" s="1"/>
  <c r="AF179" i="13"/>
  <c r="V172" i="5" s="1"/>
  <c r="AE183" i="13"/>
  <c r="O176" i="5" s="1"/>
  <c r="AD171" i="13"/>
  <c r="H165" i="5" s="1"/>
  <c r="G162" i="21" s="1"/>
  <c r="AD183" i="13"/>
  <c r="H176" i="5" s="1"/>
  <c r="G173" i="21" s="1"/>
  <c r="AF187" i="13"/>
  <c r="V180" i="5" s="1"/>
  <c r="O167" i="5"/>
  <c r="O181" i="5"/>
  <c r="O180" i="5"/>
  <c r="V125" i="5"/>
  <c r="U125" i="21" s="1"/>
  <c r="V184" i="5"/>
  <c r="U184" i="21" s="1"/>
  <c r="P152" i="5"/>
  <c r="O152" i="21" s="1"/>
  <c r="W152" i="5"/>
  <c r="V152" i="21" s="1"/>
  <c r="O48" i="5"/>
  <c r="N48" i="21" s="1"/>
  <c r="O178" i="5"/>
  <c r="O42" i="5"/>
  <c r="N42" i="21" s="1"/>
  <c r="O182" i="5"/>
  <c r="N182" i="21" s="1"/>
  <c r="O121" i="5"/>
  <c r="N120" i="21" s="1"/>
  <c r="O179" i="5"/>
  <c r="O163" i="5"/>
  <c r="O168" i="5"/>
  <c r="O117" i="5"/>
  <c r="N117" i="21" s="1"/>
  <c r="V182" i="5"/>
  <c r="U182" i="21" s="1"/>
  <c r="V27" i="5"/>
  <c r="U27" i="21" s="1"/>
  <c r="O44" i="5"/>
  <c r="N44" i="21" s="1"/>
  <c r="O125" i="5"/>
  <c r="N125" i="21" s="1"/>
  <c r="O129" i="5"/>
  <c r="N128" i="21" s="1"/>
  <c r="AE171" i="13"/>
  <c r="O165" i="5" s="1"/>
  <c r="AF171" i="13"/>
  <c r="V165" i="5" s="1"/>
  <c r="AF169" i="13"/>
  <c r="V162" i="5" s="1"/>
  <c r="U163" i="21" s="1"/>
  <c r="H163" i="5"/>
  <c r="G164" i="21" s="1"/>
  <c r="BH319" i="13"/>
  <c r="BQ309" i="13" s="1"/>
  <c r="AC53" i="11" s="1"/>
  <c r="L7" i="5"/>
  <c r="I7" i="21" s="1"/>
  <c r="D13" i="11"/>
  <c r="AA214" i="13"/>
  <c r="AC206" i="13" s="1"/>
  <c r="F193" i="5"/>
  <c r="E193" i="21" s="1"/>
  <c r="AE193" i="21" s="1"/>
  <c r="O20" i="5"/>
  <c r="N20" i="21" s="1"/>
  <c r="V140" i="5"/>
  <c r="U138" i="21" s="1"/>
  <c r="V51" i="5"/>
  <c r="U51" i="21" s="1"/>
  <c r="V171" i="5"/>
  <c r="U168" i="21" s="1"/>
  <c r="AF39" i="13"/>
  <c r="V31" i="5"/>
  <c r="U31" i="21" s="1"/>
  <c r="O140" i="5"/>
  <c r="N138" i="21" s="1"/>
  <c r="O224" i="5"/>
  <c r="N224" i="21" s="1"/>
  <c r="O172" i="5"/>
  <c r="V96" i="5"/>
  <c r="V17" i="5"/>
  <c r="U17" i="21" s="1"/>
  <c r="O27" i="5"/>
  <c r="N27" i="21" s="1"/>
  <c r="V42" i="5"/>
  <c r="U42" i="21" s="1"/>
  <c r="O53" i="5"/>
  <c r="N53" i="21" s="1"/>
  <c r="V20" i="5"/>
  <c r="U20" i="21" s="1"/>
  <c r="O185" i="5"/>
  <c r="N185" i="21" s="1"/>
  <c r="O31" i="5"/>
  <c r="N31" i="21" s="1"/>
  <c r="V59" i="5"/>
  <c r="U59" i="21" s="1"/>
  <c r="V121" i="5"/>
  <c r="U121" i="21" s="1"/>
  <c r="V58" i="5"/>
  <c r="U58" i="21" s="1"/>
  <c r="O96" i="5"/>
  <c r="V117" i="5"/>
  <c r="U117" i="21" s="1"/>
  <c r="V56" i="5"/>
  <c r="U56" i="21" s="1"/>
  <c r="O52" i="5"/>
  <c r="N52" i="21" s="1"/>
  <c r="O17" i="5"/>
  <c r="N17" i="21" s="1"/>
  <c r="O43" i="5"/>
  <c r="N43" i="21" s="1"/>
  <c r="V44" i="5"/>
  <c r="U44" i="21" s="1"/>
  <c r="O47" i="5"/>
  <c r="N47" i="21" s="1"/>
  <c r="V47" i="5"/>
  <c r="U47" i="21" s="1"/>
  <c r="V52" i="5"/>
  <c r="U52" i="21" s="1"/>
  <c r="V11" i="5"/>
  <c r="U11" i="21" s="1"/>
  <c r="O49" i="5"/>
  <c r="N49" i="21" s="1"/>
  <c r="O40" i="5"/>
  <c r="N40" i="21" s="1"/>
  <c r="O135" i="5"/>
  <c r="N134" i="21" s="1"/>
  <c r="V40" i="5"/>
  <c r="U40" i="21" s="1"/>
  <c r="V48" i="5"/>
  <c r="U48" i="21" s="1"/>
  <c r="AE51" i="13"/>
  <c r="AF175" i="13"/>
  <c r="AD46" i="13"/>
  <c r="AE46" i="13"/>
  <c r="F86" i="16"/>
  <c r="I86" i="16" s="1"/>
  <c r="AD39" i="13"/>
  <c r="H38" i="5" s="1"/>
  <c r="G38" i="21" s="1"/>
  <c r="AE39" i="13"/>
  <c r="AE59" i="13"/>
  <c r="AF56" i="13"/>
  <c r="AE56" i="13"/>
  <c r="AD51" i="13"/>
  <c r="AF59" i="13"/>
  <c r="AF51" i="13"/>
  <c r="O41" i="5"/>
  <c r="N41" i="21" s="1"/>
  <c r="AF152" i="13"/>
  <c r="AE152" i="13"/>
  <c r="AD152" i="13"/>
  <c r="H144" i="5" s="1"/>
  <c r="G144" i="21" s="1"/>
  <c r="H43" i="11"/>
  <c r="I43" i="11" s="1"/>
  <c r="M43" i="11" s="1"/>
  <c r="AF30" i="11" s="1"/>
  <c r="W190" i="5"/>
  <c r="V190" i="21" s="1"/>
  <c r="F43" i="11"/>
  <c r="G43" i="11" s="1"/>
  <c r="L43" i="11" s="1"/>
  <c r="AE30" i="11" s="1"/>
  <c r="P190" i="5"/>
  <c r="O190" i="21" s="1"/>
  <c r="AD175" i="13"/>
  <c r="I190" i="5"/>
  <c r="H190" i="21" s="1"/>
  <c r="D43" i="11"/>
  <c r="E43" i="11" s="1"/>
  <c r="K43" i="11" s="1"/>
  <c r="AD30" i="11" s="1"/>
  <c r="O170" i="5"/>
  <c r="AE175" i="13"/>
  <c r="I64" i="21"/>
  <c r="AF36" i="13"/>
  <c r="AD36" i="13"/>
  <c r="H35" i="5" s="1"/>
  <c r="G35" i="21" s="1"/>
  <c r="AE36" i="13"/>
  <c r="O11" i="5"/>
  <c r="N11" i="21" s="1"/>
  <c r="V99" i="5"/>
  <c r="U99" i="21" s="1"/>
  <c r="AF103" i="13"/>
  <c r="V95" i="5"/>
  <c r="AF100" i="13"/>
  <c r="O99" i="5"/>
  <c r="N99" i="21" s="1"/>
  <c r="AE103" i="13"/>
  <c r="H95" i="5"/>
  <c r="AD100" i="13"/>
  <c r="H99" i="5"/>
  <c r="G99" i="21" s="1"/>
  <c r="AD103" i="13"/>
  <c r="H97" i="5" s="1"/>
  <c r="AE100" i="13"/>
  <c r="O95" i="5"/>
  <c r="N121" i="21" l="1"/>
  <c r="N129" i="21"/>
  <c r="N135" i="21"/>
  <c r="U181" i="21"/>
  <c r="E194" i="21"/>
  <c r="AE194" i="21" s="1"/>
  <c r="G177" i="21"/>
  <c r="U141" i="21"/>
  <c r="N164" i="21"/>
  <c r="N173" i="21"/>
  <c r="U173" i="21"/>
  <c r="N141" i="21"/>
  <c r="U179" i="21"/>
  <c r="U148" i="21"/>
  <c r="N179" i="21"/>
  <c r="Z7" i="5"/>
  <c r="Y7" i="21" s="1"/>
  <c r="H13" i="11"/>
  <c r="M49" i="11" s="1"/>
  <c r="S7" i="5"/>
  <c r="R7" i="21" s="1"/>
  <c r="F13" i="11"/>
  <c r="L49" i="11" s="1"/>
  <c r="N178" i="21"/>
  <c r="U162" i="21"/>
  <c r="U96" i="21"/>
  <c r="N167" i="21"/>
  <c r="U124" i="21"/>
  <c r="U126" i="21"/>
  <c r="N181" i="21"/>
  <c r="U176" i="21"/>
  <c r="U165" i="21"/>
  <c r="G163" i="21"/>
  <c r="N165" i="21"/>
  <c r="N177" i="21"/>
  <c r="N180" i="21"/>
  <c r="U140" i="21"/>
  <c r="G96" i="21"/>
  <c r="N176" i="21"/>
  <c r="N136" i="21"/>
  <c r="U171" i="21"/>
  <c r="U177" i="21"/>
  <c r="U180" i="21"/>
  <c r="N118" i="21"/>
  <c r="N168" i="21"/>
  <c r="G172" i="21"/>
  <c r="U147" i="21"/>
  <c r="N171" i="21"/>
  <c r="N130" i="21"/>
  <c r="U167" i="21"/>
  <c r="G176" i="21"/>
  <c r="N96" i="21"/>
  <c r="N175" i="21"/>
  <c r="N122" i="21"/>
  <c r="G165" i="21"/>
  <c r="G97" i="21"/>
  <c r="G98" i="21"/>
  <c r="N124" i="21"/>
  <c r="N126" i="21"/>
  <c r="U172" i="21"/>
  <c r="N147" i="21"/>
  <c r="U118" i="21"/>
  <c r="U120" i="21"/>
  <c r="U122" i="21"/>
  <c r="V149" i="21"/>
  <c r="G181" i="21"/>
  <c r="O149" i="21"/>
  <c r="N172" i="21"/>
  <c r="G149" i="21"/>
  <c r="N140" i="21"/>
  <c r="AC193" i="5"/>
  <c r="AE190" i="21"/>
  <c r="O162" i="5"/>
  <c r="N163" i="21" s="1"/>
  <c r="V144" i="5"/>
  <c r="U144" i="21" s="1"/>
  <c r="O97" i="5"/>
  <c r="AC205" i="13"/>
  <c r="AE205" i="13" s="1"/>
  <c r="F207" i="5"/>
  <c r="AC207" i="5" s="1"/>
  <c r="AC207" i="13"/>
  <c r="C44" i="11"/>
  <c r="AH200" i="13"/>
  <c r="AH214" i="13" s="1"/>
  <c r="I207" i="5" s="1"/>
  <c r="H207" i="21" s="1"/>
  <c r="AF197" i="13"/>
  <c r="AI200" i="13"/>
  <c r="AI214" i="13" s="1"/>
  <c r="P207" i="5" s="1"/>
  <c r="O207" i="21" s="1"/>
  <c r="AC209" i="13"/>
  <c r="AE209" i="13" s="1"/>
  <c r="AC204" i="13"/>
  <c r="AJ200" i="13"/>
  <c r="AJ214" i="13" s="1"/>
  <c r="W207" i="5" s="1"/>
  <c r="V207" i="21" s="1"/>
  <c r="AC200" i="13"/>
  <c r="AC201" i="13"/>
  <c r="AE201" i="13" s="1"/>
  <c r="AC213" i="13"/>
  <c r="AF213" i="13" s="1"/>
  <c r="AC211" i="13"/>
  <c r="AC210" i="13"/>
  <c r="AE210" i="13" s="1"/>
  <c r="AC212" i="13"/>
  <c r="AD212" i="13" s="1"/>
  <c r="H205" i="5" s="1"/>
  <c r="G205" i="21" s="1"/>
  <c r="AC208" i="13"/>
  <c r="AC203" i="13"/>
  <c r="AF203" i="13" s="1"/>
  <c r="AC202" i="13"/>
  <c r="AD202" i="13" s="1"/>
  <c r="K49" i="11"/>
  <c r="Y64" i="21"/>
  <c r="V169" i="5"/>
  <c r="U166" i="21" s="1"/>
  <c r="V97" i="5"/>
  <c r="F91" i="16"/>
  <c r="I91" i="16" s="1"/>
  <c r="O38" i="5"/>
  <c r="N38" i="21" s="1"/>
  <c r="V35" i="5"/>
  <c r="U35" i="21" s="1"/>
  <c r="V38" i="5"/>
  <c r="U38" i="21" s="1"/>
  <c r="O144" i="5"/>
  <c r="N144" i="21" s="1"/>
  <c r="O35" i="5"/>
  <c r="N35" i="21" s="1"/>
  <c r="AF206" i="13"/>
  <c r="V200" i="5" s="1"/>
  <c r="AD206" i="13"/>
  <c r="H200" i="5" s="1"/>
  <c r="AE206" i="13"/>
  <c r="H169" i="5"/>
  <c r="AD197" i="13"/>
  <c r="H190" i="5" s="1"/>
  <c r="G190" i="21" s="1"/>
  <c r="O169" i="5"/>
  <c r="N166" i="21" s="1"/>
  <c r="AE197" i="13"/>
  <c r="O190" i="5" s="1"/>
  <c r="N190" i="21" s="1"/>
  <c r="AE110" i="13"/>
  <c r="O94" i="5"/>
  <c r="N94" i="21" s="1"/>
  <c r="AD110" i="13"/>
  <c r="H100" i="5" s="1"/>
  <c r="G100" i="21" s="1"/>
  <c r="H94" i="5"/>
  <c r="G94" i="21" s="1"/>
  <c r="AF110" i="13"/>
  <c r="V94" i="5"/>
  <c r="U94" i="21" s="1"/>
  <c r="D30" i="16"/>
  <c r="AE208" i="21" l="1"/>
  <c r="E207" i="21"/>
  <c r="U170" i="21"/>
  <c r="N170" i="21"/>
  <c r="G166" i="21"/>
  <c r="G170" i="21"/>
  <c r="U95" i="21"/>
  <c r="AE204" i="21"/>
  <c r="AE207" i="21"/>
  <c r="N97" i="21"/>
  <c r="N98" i="21"/>
  <c r="U169" i="21"/>
  <c r="U97" i="21"/>
  <c r="U98" i="21"/>
  <c r="N95" i="21"/>
  <c r="N162" i="21"/>
  <c r="G95" i="21"/>
  <c r="N169" i="21"/>
  <c r="G169" i="21"/>
  <c r="AD213" i="13"/>
  <c r="H206" i="5" s="1"/>
  <c r="G206" i="21" s="1"/>
  <c r="AE213" i="13"/>
  <c r="AF201" i="13"/>
  <c r="V194" i="5" s="1"/>
  <c r="AF205" i="13"/>
  <c r="AF204" i="13" s="1"/>
  <c r="V198" i="5" s="1"/>
  <c r="AD205" i="13"/>
  <c r="AD204" i="13" s="1"/>
  <c r="H198" i="5" s="1"/>
  <c r="G195" i="21" s="1"/>
  <c r="AF202" i="13"/>
  <c r="AE202" i="13"/>
  <c r="O196" i="5" s="1"/>
  <c r="AE203" i="13"/>
  <c r="AD203" i="13"/>
  <c r="H197" i="5" s="1"/>
  <c r="O203" i="5"/>
  <c r="N203" i="21" s="1"/>
  <c r="AF210" i="13"/>
  <c r="AD210" i="13"/>
  <c r="H203" i="5" s="1"/>
  <c r="G203" i="21" s="1"/>
  <c r="AF209" i="13"/>
  <c r="AD209" i="13"/>
  <c r="H202" i="5" s="1"/>
  <c r="V197" i="5"/>
  <c r="O194" i="5"/>
  <c r="AC214" i="13"/>
  <c r="AD201" i="13"/>
  <c r="H194" i="5" s="1"/>
  <c r="AE212" i="13"/>
  <c r="AF212" i="13"/>
  <c r="V205" i="5" s="1"/>
  <c r="U205" i="21" s="1"/>
  <c r="O200" i="5"/>
  <c r="O197" i="5"/>
  <c r="V203" i="5"/>
  <c r="U203" i="21" s="1"/>
  <c r="V190" i="5"/>
  <c r="U190" i="21" s="1"/>
  <c r="O100" i="5"/>
  <c r="N100" i="21" s="1"/>
  <c r="V100" i="5"/>
  <c r="U100" i="21" s="1"/>
  <c r="V196" i="5"/>
  <c r="AE208" i="13"/>
  <c r="O202" i="5"/>
  <c r="H196" i="5"/>
  <c r="O206" i="5"/>
  <c r="N206" i="21" s="1"/>
  <c r="O199" i="5"/>
  <c r="AE204" i="13"/>
  <c r="O198" i="5" s="1"/>
  <c r="N195" i="21" s="1"/>
  <c r="V206" i="5"/>
  <c r="U206" i="21" s="1"/>
  <c r="F30" i="16"/>
  <c r="F72" i="5"/>
  <c r="U195" i="21" l="1"/>
  <c r="N199" i="21"/>
  <c r="N196" i="21"/>
  <c r="U197" i="21"/>
  <c r="N200" i="21"/>
  <c r="N197" i="21"/>
  <c r="G197" i="21"/>
  <c r="AD211" i="13"/>
  <c r="E72" i="21"/>
  <c r="AE72" i="21" s="1"/>
  <c r="E73" i="21"/>
  <c r="AE73" i="21" s="1"/>
  <c r="H199" i="5"/>
  <c r="G196" i="21" s="1"/>
  <c r="V199" i="5"/>
  <c r="U196" i="21" s="1"/>
  <c r="AE211" i="13"/>
  <c r="AF200" i="13"/>
  <c r="AD200" i="13"/>
  <c r="H193" i="5" s="1"/>
  <c r="AE200" i="13"/>
  <c r="AD208" i="13"/>
  <c r="AF208" i="13"/>
  <c r="V202" i="5"/>
  <c r="AF211" i="13"/>
  <c r="O205" i="5"/>
  <c r="N205" i="21" s="1"/>
  <c r="O193" i="5"/>
  <c r="V193" i="5"/>
  <c r="AC72" i="5"/>
  <c r="I30" i="16"/>
  <c r="D31" i="16"/>
  <c r="N194" i="21" l="1"/>
  <c r="U194" i="21"/>
  <c r="G200" i="21"/>
  <c r="G194" i="21"/>
  <c r="U200" i="21"/>
  <c r="U199" i="21"/>
  <c r="U193" i="21"/>
  <c r="G193" i="21"/>
  <c r="N193" i="21"/>
  <c r="G199" i="21"/>
  <c r="AE214" i="13"/>
  <c r="AF214" i="13"/>
  <c r="V207" i="5" s="1"/>
  <c r="U207" i="21" s="1"/>
  <c r="D33" i="16"/>
  <c r="F33" i="16" l="1"/>
  <c r="F79" i="5"/>
  <c r="E79" i="21" l="1"/>
  <c r="AE79" i="21" s="1"/>
  <c r="E80" i="21"/>
  <c r="AE80" i="21" s="1"/>
  <c r="AC79" i="5"/>
  <c r="I33" i="16"/>
  <c r="D34" i="16"/>
  <c r="F34" i="16" l="1"/>
  <c r="F82" i="5"/>
  <c r="E82" i="21" l="1"/>
  <c r="AE82" i="21" s="1"/>
  <c r="E83" i="21"/>
  <c r="AE83" i="21" s="1"/>
  <c r="AC82" i="5"/>
  <c r="I34" i="16"/>
  <c r="D35" i="16"/>
  <c r="Z97" i="13" l="1"/>
  <c r="Z257" i="13" s="1"/>
  <c r="F86" i="5"/>
  <c r="E86" i="21" l="1"/>
  <c r="AE86" i="21" s="1"/>
  <c r="E87" i="21"/>
  <c r="AE87" i="21" s="1"/>
  <c r="F35" i="16"/>
  <c r="I35" i="16" s="1"/>
  <c r="AC86" i="5"/>
  <c r="S97" i="13"/>
  <c r="D40" i="16" s="1"/>
  <c r="D36" i="16" l="1"/>
  <c r="F36" i="16" l="1"/>
  <c r="F89" i="5"/>
  <c r="E89" i="21" l="1"/>
  <c r="AE89" i="21" s="1"/>
  <c r="E90" i="21"/>
  <c r="AE90" i="21" s="1"/>
  <c r="AC89" i="5"/>
  <c r="I36" i="16"/>
  <c r="S123" i="13" l="1"/>
  <c r="D55" i="16"/>
  <c r="D56" i="16" l="1"/>
  <c r="F112" i="5"/>
  <c r="E112" i="21" s="1"/>
  <c r="AE112" i="21" s="1"/>
  <c r="AC112" i="5" l="1"/>
  <c r="E111" i="21"/>
  <c r="AE111" i="21" s="1"/>
  <c r="F55" i="16"/>
  <c r="I55" i="16" s="1"/>
  <c r="H40" i="11"/>
  <c r="H106" i="5"/>
  <c r="H108" i="5"/>
  <c r="G108" i="21" s="1"/>
  <c r="F114" i="5"/>
  <c r="E114" i="21" s="1"/>
  <c r="AE114" i="21" s="1"/>
  <c r="F40" i="11"/>
  <c r="G105" i="21" l="1"/>
  <c r="G106" i="21"/>
  <c r="G107" i="21"/>
  <c r="G109" i="21"/>
  <c r="AC114" i="5"/>
  <c r="AE113" i="21"/>
  <c r="F56" i="16"/>
  <c r="I56" i="16" s="1"/>
  <c r="G40" i="11"/>
  <c r="L40" i="11" s="1"/>
  <c r="D40" i="11"/>
  <c r="I114" i="5"/>
  <c r="H114" i="21" s="1"/>
  <c r="I40" i="11"/>
  <c r="M40" i="11" s="1"/>
  <c r="AE27" i="11" l="1"/>
  <c r="AF27" i="11"/>
  <c r="H103" i="5"/>
  <c r="E40" i="11"/>
  <c r="K40" i="11" s="1"/>
  <c r="G103" i="21" l="1"/>
  <c r="G104" i="21"/>
  <c r="AD27" i="11"/>
  <c r="D70" i="16" l="1"/>
  <c r="F153" i="5" l="1"/>
  <c r="F70" i="16"/>
  <c r="E153" i="21" l="1"/>
  <c r="AE153" i="21" s="1"/>
  <c r="AC153" i="5"/>
  <c r="AE150" i="21"/>
  <c r="I70" i="16"/>
  <c r="S166" i="13"/>
  <c r="D71" i="16"/>
  <c r="S256" i="13" l="1"/>
  <c r="F30" i="3" s="1"/>
  <c r="D72" i="16"/>
  <c r="F157" i="5" l="1"/>
  <c r="E157" i="21" s="1"/>
  <c r="AE157" i="21" s="1"/>
  <c r="F71" i="16"/>
  <c r="AC157" i="5" l="1"/>
  <c r="AE154" i="21"/>
  <c r="F42" i="11"/>
  <c r="I71" i="16"/>
  <c r="F72" i="16"/>
  <c r="I72" i="16" s="1"/>
  <c r="H42" i="11"/>
  <c r="F159" i="5"/>
  <c r="E159" i="21" s="1"/>
  <c r="AE159" i="21" l="1"/>
  <c r="AE160" i="21"/>
  <c r="AC159" i="5"/>
  <c r="AE156" i="21"/>
  <c r="I42" i="11"/>
  <c r="M42" i="11" s="1"/>
  <c r="D42" i="11"/>
  <c r="I159" i="5"/>
  <c r="H159" i="21" s="1"/>
  <c r="G42" i="11"/>
  <c r="L42" i="11" s="1"/>
  <c r="AE29" i="11" l="1"/>
  <c r="AF29" i="11"/>
  <c r="H147" i="5"/>
  <c r="G148" i="21" s="1"/>
  <c r="E42" i="11"/>
  <c r="K42" i="11" s="1"/>
  <c r="G147" i="21" l="1"/>
  <c r="AD29" i="11"/>
  <c r="E256" i="13"/>
  <c r="H45" i="5" l="1"/>
  <c r="G45" i="21" s="1"/>
  <c r="O45" i="5"/>
  <c r="N45" i="21" s="1"/>
  <c r="V45" i="5"/>
  <c r="U45" i="21" s="1"/>
  <c r="H50" i="5"/>
  <c r="G50" i="21" s="1"/>
  <c r="V50" i="5"/>
  <c r="U50" i="21" s="1"/>
  <c r="O50" i="5"/>
  <c r="N50" i="21" s="1"/>
  <c r="H54" i="5"/>
  <c r="G54" i="21" s="1"/>
  <c r="O54" i="5"/>
  <c r="N54" i="21" s="1"/>
  <c r="V54" i="5"/>
  <c r="U54" i="21" s="1"/>
  <c r="H57" i="5"/>
  <c r="G57" i="21" s="1"/>
  <c r="V57" i="5"/>
  <c r="U57" i="21" s="1"/>
  <c r="O57" i="5"/>
  <c r="N57" i="21" s="1"/>
  <c r="AD66" i="13"/>
  <c r="H60" i="5"/>
  <c r="G60" i="21" s="1"/>
  <c r="P64" i="21" l="1"/>
  <c r="W64" i="21"/>
  <c r="H62" i="5"/>
  <c r="G62" i="21" s="1"/>
  <c r="AF66" i="13"/>
  <c r="V60" i="5"/>
  <c r="U60" i="21" s="1"/>
  <c r="AE66" i="13"/>
  <c r="O60" i="5"/>
  <c r="N60" i="21" s="1"/>
  <c r="V62" i="5" l="1"/>
  <c r="U62" i="21" s="1"/>
  <c r="O62" i="5"/>
  <c r="N62" i="21" s="1"/>
  <c r="AD123" i="13"/>
  <c r="H114" i="5" s="1"/>
  <c r="G114" i="21" s="1"/>
  <c r="H112" i="5"/>
  <c r="G111" i="21" l="1"/>
  <c r="G112" i="21"/>
  <c r="AE123" i="13"/>
  <c r="O114" i="5" s="1"/>
  <c r="N114" i="21" s="1"/>
  <c r="O112" i="5"/>
  <c r="AF123" i="13"/>
  <c r="V114" i="5" s="1"/>
  <c r="U114" i="21" s="1"/>
  <c r="V112" i="5"/>
  <c r="H153" i="5"/>
  <c r="G153" i="21" s="1"/>
  <c r="H155" i="5"/>
  <c r="G155" i="21" s="1"/>
  <c r="AD166" i="13"/>
  <c r="H159" i="5" s="1"/>
  <c r="G159" i="21" s="1"/>
  <c r="H157" i="5"/>
  <c r="G157" i="21" s="1"/>
  <c r="U111" i="21" l="1"/>
  <c r="U112" i="21"/>
  <c r="N111" i="21"/>
  <c r="N112" i="21"/>
  <c r="O153" i="5"/>
  <c r="N153" i="21" s="1"/>
  <c r="V153" i="5"/>
  <c r="U153" i="21" s="1"/>
  <c r="V155" i="5"/>
  <c r="U155" i="21" s="1"/>
  <c r="O155" i="5"/>
  <c r="N155" i="21" s="1"/>
  <c r="AE166" i="13"/>
  <c r="O159" i="5" s="1"/>
  <c r="N159" i="21" s="1"/>
  <c r="O157" i="5"/>
  <c r="N157" i="21" s="1"/>
  <c r="AF166" i="13"/>
  <c r="V159" i="5" s="1"/>
  <c r="U159" i="21" s="1"/>
  <c r="V157" i="5"/>
  <c r="U157" i="21" s="1"/>
  <c r="O201" i="5"/>
  <c r="V201" i="5"/>
  <c r="U198" i="21" l="1"/>
  <c r="U202" i="21"/>
  <c r="N198" i="21"/>
  <c r="N202" i="21"/>
  <c r="D44" i="11"/>
  <c r="E44" i="11" s="1"/>
  <c r="K44" i="11" s="1"/>
  <c r="AD31" i="11" l="1"/>
  <c r="F44" i="11" l="1"/>
  <c r="O204" i="5"/>
  <c r="N201" i="21" l="1"/>
  <c r="N204" i="21"/>
  <c r="G44" i="11"/>
  <c r="L44" i="11" s="1"/>
  <c r="AE31" i="11" l="1"/>
  <c r="V204" i="5" l="1"/>
  <c r="U204" i="21" s="1"/>
  <c r="H44" i="11"/>
  <c r="U201" i="21" l="1"/>
  <c r="I44" i="11"/>
  <c r="M44" i="11" s="1"/>
  <c r="AF31" i="11" l="1"/>
  <c r="H201" i="5" l="1"/>
  <c r="H204" i="5"/>
  <c r="G204" i="21" s="1"/>
  <c r="AD214" i="13"/>
  <c r="G198" i="21" l="1"/>
  <c r="G202" i="21"/>
  <c r="G201" i="21"/>
  <c r="H207" i="5"/>
  <c r="G207" i="21" s="1"/>
  <c r="O207" i="5"/>
  <c r="N207" i="21" s="1"/>
  <c r="F76" i="5"/>
  <c r="E77" i="21" s="1"/>
  <c r="AE77" i="21" s="1"/>
  <c r="F31" i="16"/>
  <c r="AC76" i="5" l="1"/>
  <c r="E76" i="21"/>
  <c r="AE76" i="21" s="1"/>
  <c r="AI79" i="13"/>
  <c r="AI97" i="13" s="1"/>
  <c r="AA97" i="13"/>
  <c r="AH79" i="13"/>
  <c r="AH97" i="13" s="1"/>
  <c r="AJ79" i="13"/>
  <c r="AJ97" i="13" s="1"/>
  <c r="F40" i="16"/>
  <c r="I40" i="16" s="1"/>
  <c r="I31" i="16"/>
  <c r="AC72" i="13" l="1"/>
  <c r="C38" i="11"/>
  <c r="F38" i="11"/>
  <c r="F46" i="11" s="1"/>
  <c r="BF259" i="13" s="1"/>
  <c r="P91" i="5"/>
  <c r="O91" i="21" s="1"/>
  <c r="H38" i="11"/>
  <c r="H46" i="11" s="1"/>
  <c r="BI259" i="13" s="1"/>
  <c r="W91" i="5"/>
  <c r="D38" i="11"/>
  <c r="D46" i="11" s="1"/>
  <c r="BC259" i="13" s="1"/>
  <c r="I91" i="5"/>
  <c r="H91" i="21" s="1"/>
  <c r="AC92" i="13"/>
  <c r="AD92" i="13" s="1"/>
  <c r="H88" i="5" s="1"/>
  <c r="AC90" i="13"/>
  <c r="AC70" i="13"/>
  <c r="AF70" i="13" s="1"/>
  <c r="AC73" i="13"/>
  <c r="AF73" i="13" s="1"/>
  <c r="AA256" i="13"/>
  <c r="AC96" i="13"/>
  <c r="AC74" i="13"/>
  <c r="AE74" i="13" s="1"/>
  <c r="AC86" i="13"/>
  <c r="AC77" i="13"/>
  <c r="AD77" i="13" s="1"/>
  <c r="H74" i="5" s="1"/>
  <c r="AC95" i="13"/>
  <c r="AC78" i="13"/>
  <c r="AF78" i="13" s="1"/>
  <c r="F91" i="5"/>
  <c r="E91" i="21" s="1"/>
  <c r="AE91" i="21" s="1"/>
  <c r="AC76" i="13"/>
  <c r="AE76" i="13" s="1"/>
  <c r="AC87" i="13"/>
  <c r="AD87" i="13" s="1"/>
  <c r="AC91" i="13"/>
  <c r="AF91" i="13" s="1"/>
  <c r="AC79" i="13"/>
  <c r="AC84" i="13"/>
  <c r="AF84" i="13" s="1"/>
  <c r="BC258" i="13"/>
  <c r="C46" i="11"/>
  <c r="AC83" i="13"/>
  <c r="AC82" i="13"/>
  <c r="AC85" i="13"/>
  <c r="AF85" i="13" s="1"/>
  <c r="AC89" i="13"/>
  <c r="AE89" i="13" s="1"/>
  <c r="AC93" i="13"/>
  <c r="BF258" i="13"/>
  <c r="AC71" i="13"/>
  <c r="AF71" i="13" s="1"/>
  <c r="AC88" i="13"/>
  <c r="AC80" i="13"/>
  <c r="AD80" i="13" s="1"/>
  <c r="AC69" i="13"/>
  <c r="AC81" i="13"/>
  <c r="AC94" i="13"/>
  <c r="BI258" i="13"/>
  <c r="AC75" i="13"/>
  <c r="AE72" i="13"/>
  <c r="O68" i="5" s="1"/>
  <c r="N68" i="21" s="1"/>
  <c r="AF72" i="13"/>
  <c r="V68" i="5" s="1"/>
  <c r="U68" i="21" s="1"/>
  <c r="AD72" i="13"/>
  <c r="H68" i="5" s="1"/>
  <c r="G68" i="21" s="1"/>
  <c r="F32" i="3" l="1"/>
  <c r="Z256" i="13"/>
  <c r="F31" i="3" s="1"/>
  <c r="AE92" i="13"/>
  <c r="O88" i="5" s="1"/>
  <c r="AF92" i="13"/>
  <c r="V88" i="5" s="1"/>
  <c r="AA204" i="21"/>
  <c r="V91" i="21"/>
  <c r="AE78" i="13"/>
  <c r="O75" i="5" s="1"/>
  <c r="AD89" i="13"/>
  <c r="H85" i="5" s="1"/>
  <c r="AF89" i="13"/>
  <c r="V85" i="5" s="1"/>
  <c r="AD78" i="13"/>
  <c r="H75" i="5" s="1"/>
  <c r="G75" i="21" s="1"/>
  <c r="V75" i="5"/>
  <c r="O85" i="5"/>
  <c r="AF77" i="13"/>
  <c r="V74" i="5" s="1"/>
  <c r="AE77" i="13"/>
  <c r="O74" i="5" s="1"/>
  <c r="AF76" i="13"/>
  <c r="V73" i="5" s="1"/>
  <c r="AD76" i="13"/>
  <c r="AD91" i="13"/>
  <c r="H87" i="5" s="1"/>
  <c r="AE91" i="13"/>
  <c r="V87" i="5" s="1"/>
  <c r="AD73" i="13"/>
  <c r="H70" i="5" s="1"/>
  <c r="AF87" i="13"/>
  <c r="V83" i="5" s="1"/>
  <c r="AE85" i="13"/>
  <c r="O81" i="5" s="1"/>
  <c r="AD85" i="13"/>
  <c r="H81" i="5" s="1"/>
  <c r="AE73" i="13"/>
  <c r="AE70" i="13"/>
  <c r="AE84" i="13"/>
  <c r="O80" i="5" s="1"/>
  <c r="AD84" i="13"/>
  <c r="H80" i="5" s="1"/>
  <c r="AD70" i="13"/>
  <c r="H66" i="5" s="1"/>
  <c r="G66" i="21" s="1"/>
  <c r="I38" i="11"/>
  <c r="M38" i="11" s="1"/>
  <c r="M46" i="11" s="1"/>
  <c r="E38" i="11"/>
  <c r="K38" i="11" s="1"/>
  <c r="AD25" i="11" s="1"/>
  <c r="AC91" i="5"/>
  <c r="G38" i="11"/>
  <c r="L38" i="11" s="1"/>
  <c r="L46" i="11" s="1"/>
  <c r="S5" i="5" s="1"/>
  <c r="R5" i="21" s="1"/>
  <c r="AD71" i="13"/>
  <c r="H67" i="5" s="1"/>
  <c r="G67" i="21" s="1"/>
  <c r="AE71" i="13"/>
  <c r="O67" i="5" s="1"/>
  <c r="N67" i="21" s="1"/>
  <c r="AF74" i="13"/>
  <c r="V71" i="5" s="1"/>
  <c r="AD74" i="13"/>
  <c r="H71" i="5" s="1"/>
  <c r="AE87" i="13"/>
  <c r="O83" i="5" s="1"/>
  <c r="AF80" i="13"/>
  <c r="V77" i="5" s="1"/>
  <c r="AE80" i="13"/>
  <c r="O77" i="5" s="1"/>
  <c r="AF88" i="13"/>
  <c r="V84" i="5" s="1"/>
  <c r="AD88" i="13"/>
  <c r="H84" i="5" s="1"/>
  <c r="AE88" i="13"/>
  <c r="O84" i="5" s="1"/>
  <c r="AD81" i="13"/>
  <c r="H78" i="5" s="1"/>
  <c r="AF81" i="13"/>
  <c r="V78" i="5" s="1"/>
  <c r="AE81" i="13"/>
  <c r="O78" i="5" s="1"/>
  <c r="AC97" i="13"/>
  <c r="AF94" i="13"/>
  <c r="AD94" i="13"/>
  <c r="AE94" i="13"/>
  <c r="H77" i="5"/>
  <c r="H83" i="5"/>
  <c r="AF90" i="13"/>
  <c r="AF83" i="13"/>
  <c r="O73" i="5"/>
  <c r="V66" i="5"/>
  <c r="U66" i="21" s="1"/>
  <c r="G69" i="21" l="1"/>
  <c r="G70" i="21"/>
  <c r="U84" i="21"/>
  <c r="G71" i="21"/>
  <c r="N81" i="21"/>
  <c r="U78" i="21"/>
  <c r="U75" i="21"/>
  <c r="N85" i="21"/>
  <c r="G81" i="21"/>
  <c r="N75" i="21"/>
  <c r="N78" i="21"/>
  <c r="U85" i="21"/>
  <c r="G85" i="21"/>
  <c r="G78" i="21"/>
  <c r="N84" i="21"/>
  <c r="G84" i="21"/>
  <c r="U88" i="21"/>
  <c r="N74" i="21"/>
  <c r="U74" i="21"/>
  <c r="G88" i="21"/>
  <c r="AE75" i="13"/>
  <c r="O72" i="5" s="1"/>
  <c r="AD75" i="13"/>
  <c r="H72" i="5" s="1"/>
  <c r="G72" i="21" s="1"/>
  <c r="H73" i="5"/>
  <c r="V80" i="5"/>
  <c r="V86" i="5"/>
  <c r="U86" i="21" s="1"/>
  <c r="O66" i="5"/>
  <c r="N66" i="21" s="1"/>
  <c r="BI260" i="13"/>
  <c r="BJ260" i="13" s="1"/>
  <c r="BK260" i="13" s="1"/>
  <c r="Z5" i="5"/>
  <c r="Y5" i="21" s="1"/>
  <c r="AE90" i="13"/>
  <c r="O70" i="5"/>
  <c r="V81" i="5"/>
  <c r="O87" i="5"/>
  <c r="O71" i="5"/>
  <c r="O86" i="5"/>
  <c r="N86" i="21" s="1"/>
  <c r="V67" i="5"/>
  <c r="U67" i="21" s="1"/>
  <c r="V70" i="5"/>
  <c r="AD90" i="13"/>
  <c r="H86" i="5" s="1"/>
  <c r="G86" i="21" s="1"/>
  <c r="AF75" i="13"/>
  <c r="V72" i="5" s="1"/>
  <c r="U72" i="21" s="1"/>
  <c r="AE83" i="13"/>
  <c r="O79" i="5" s="1"/>
  <c r="N79" i="21" s="1"/>
  <c r="K46" i="11"/>
  <c r="BC260" i="13" s="1"/>
  <c r="BD260" i="13" s="1"/>
  <c r="BE260" i="13" s="1"/>
  <c r="AD83" i="13"/>
  <c r="H79" i="5" s="1"/>
  <c r="G79" i="21" s="1"/>
  <c r="AF25" i="11"/>
  <c r="AE69" i="13"/>
  <c r="AE25" i="11"/>
  <c r="AD69" i="13"/>
  <c r="H65" i="5" s="1"/>
  <c r="G65" i="21" s="1"/>
  <c r="AF69" i="13"/>
  <c r="AD86" i="13"/>
  <c r="H82" i="5" s="1"/>
  <c r="G82" i="21" s="1"/>
  <c r="AF86" i="13"/>
  <c r="V82" i="5" s="1"/>
  <c r="AE86" i="13"/>
  <c r="O82" i="5" s="1"/>
  <c r="N82" i="21" s="1"/>
  <c r="AE79" i="13"/>
  <c r="AD79" i="13"/>
  <c r="H76" i="5" s="1"/>
  <c r="G76" i="21" s="1"/>
  <c r="AF79" i="13"/>
  <c r="AE93" i="13"/>
  <c r="O89" i="5" s="1"/>
  <c r="N89" i="21" s="1"/>
  <c r="O90" i="5"/>
  <c r="H90" i="5"/>
  <c r="AD93" i="13"/>
  <c r="H89" i="5" s="1"/>
  <c r="G89" i="21" s="1"/>
  <c r="AF93" i="13"/>
  <c r="V89" i="5" s="1"/>
  <c r="U89" i="21" s="1"/>
  <c r="V90" i="5"/>
  <c r="BF260" i="13"/>
  <c r="U69" i="21" l="1"/>
  <c r="U70" i="21"/>
  <c r="N69" i="21"/>
  <c r="N70" i="21"/>
  <c r="N71" i="21"/>
  <c r="U82" i="21"/>
  <c r="U81" i="21"/>
  <c r="N72" i="21"/>
  <c r="N73" i="21"/>
  <c r="U90" i="21"/>
  <c r="G90" i="21"/>
  <c r="N90" i="21"/>
  <c r="G87" i="21"/>
  <c r="N80" i="21"/>
  <c r="U87" i="21"/>
  <c r="G77" i="21"/>
  <c r="N87" i="21"/>
  <c r="N83" i="21"/>
  <c r="G80" i="21"/>
  <c r="U83" i="21"/>
  <c r="G73" i="21"/>
  <c r="G74" i="21"/>
  <c r="N88" i="21"/>
  <c r="U73" i="21"/>
  <c r="U71" i="21"/>
  <c r="G83" i="21"/>
  <c r="H11" i="11"/>
  <c r="O65" i="5"/>
  <c r="N65" i="21" s="1"/>
  <c r="O76" i="5"/>
  <c r="V79" i="5"/>
  <c r="U79" i="21" s="1"/>
  <c r="V76" i="5"/>
  <c r="V65" i="5"/>
  <c r="U65" i="21" s="1"/>
  <c r="D11" i="11"/>
  <c r="L5" i="5"/>
  <c r="I5" i="21" s="1"/>
  <c r="AE97" i="13"/>
  <c r="AD97" i="13"/>
  <c r="AD258" i="13" s="1"/>
  <c r="AF97" i="13"/>
  <c r="F11" i="11"/>
  <c r="BG260" i="13"/>
  <c r="BH260" i="13" s="1"/>
  <c r="N76" i="21" l="1"/>
  <c r="N77" i="21"/>
  <c r="U76" i="21"/>
  <c r="U77" i="21"/>
  <c r="U80" i="21"/>
  <c r="V91" i="5"/>
  <c r="U91" i="21" s="1"/>
  <c r="O91" i="5"/>
  <c r="N91" i="21" s="1"/>
  <c r="H91" i="5"/>
  <c r="G91" i="21" s="1"/>
  <c r="AD51" i="11"/>
  <c r="AE51" i="11"/>
  <c r="BI313" i="13"/>
  <c r="BR307" i="13" s="1"/>
  <c r="BF249" i="13"/>
  <c r="BG249" i="13" s="1"/>
  <c r="P136" i="5" s="1"/>
  <c r="AX145" i="13"/>
  <c r="O136" i="21" l="1"/>
  <c r="P137" i="5"/>
  <c r="O138" i="21" s="1"/>
  <c r="BG145" i="13"/>
  <c r="BF257" i="13"/>
  <c r="BG257" i="13" s="1"/>
  <c r="BH257" i="13" s="1"/>
  <c r="BH262" i="13" s="1"/>
  <c r="BC257" i="13"/>
  <c r="BD257" i="13" s="1"/>
  <c r="BH313" i="13"/>
  <c r="BQ307" i="13" s="1"/>
  <c r="AC51" i="11" s="1"/>
  <c r="BD145" i="13"/>
  <c r="O137" i="21" l="1"/>
  <c r="BJ145" i="13"/>
  <c r="BI249" i="13"/>
  <c r="BJ249" i="13" s="1"/>
  <c r="W136" i="5" s="1"/>
  <c r="I137" i="5"/>
  <c r="H138" i="21" s="1"/>
  <c r="I136" i="5"/>
  <c r="S6" i="5"/>
  <c r="R6" i="21" s="1"/>
  <c r="F12" i="11"/>
  <c r="L48" i="11" s="1"/>
  <c r="W137" i="5"/>
  <c r="V138" i="21" s="1"/>
  <c r="BJ313" i="13"/>
  <c r="BS307" i="13" s="1"/>
  <c r="BI257" i="13"/>
  <c r="BJ257" i="13" s="1"/>
  <c r="BG262" i="13"/>
  <c r="BG265" i="13"/>
  <c r="D12" i="11"/>
  <c r="K48" i="11" s="1"/>
  <c r="BE257" i="13"/>
  <c r="BE262" i="13" s="1"/>
  <c r="L6" i="5"/>
  <c r="I6" i="21" s="1"/>
  <c r="H137" i="21" l="1"/>
  <c r="H136" i="21"/>
  <c r="V137" i="21"/>
  <c r="V136" i="21"/>
  <c r="BD265" i="13"/>
  <c r="BD262" i="13"/>
  <c r="F10" i="11"/>
  <c r="L47" i="11" s="1"/>
  <c r="S4" i="5"/>
  <c r="R4" i="21" s="1"/>
  <c r="BK257" i="13"/>
  <c r="BK262" i="13" s="1"/>
  <c r="H12" i="11"/>
  <c r="M48" i="11" s="1"/>
  <c r="Z6" i="5"/>
  <c r="Y6" i="21" s="1"/>
  <c r="BJ262" i="13" l="1"/>
  <c r="BJ265" i="13"/>
  <c r="D10" i="11"/>
  <c r="K47" i="11" s="1"/>
  <c r="L4" i="5"/>
  <c r="I4" i="21" s="1"/>
  <c r="K10" i="11"/>
  <c r="E8" i="5"/>
  <c r="D8" i="21" s="1"/>
  <c r="Z4" i="5" l="1"/>
  <c r="Y4" i="21" s="1"/>
  <c r="H10" i="11"/>
  <c r="M4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H9" authorId="0" shapeId="0" xr:uid="{30D6E5A2-4011-4BE2-B4D8-525E7394EDE5}">
      <text>
        <r>
          <rPr>
            <sz val="9"/>
            <color indexed="81"/>
            <rFont val="Tahoma"/>
            <family val="2"/>
          </rPr>
          <t>Contribution to score. 
0 c. 0% means number of credits achieved and contribution to score.</t>
        </r>
      </text>
    </comment>
    <comment ref="I9" authorId="0" shapeId="0" xr:uid="{F425A9A2-18E4-414B-9BBC-F48CC9B81F78}">
      <text>
        <r>
          <rPr>
            <sz val="9"/>
            <color indexed="81"/>
            <rFont val="Tahoma"/>
            <family val="2"/>
          </rPr>
          <t>Minimum standards level achieved</t>
        </r>
      </text>
    </comment>
    <comment ref="K9" authorId="0" shapeId="0" xr:uid="{F323149C-5FF4-4108-94F4-B5AE26B4E30F}">
      <text>
        <r>
          <rPr>
            <sz val="9"/>
            <color indexed="81"/>
            <rFont val="Tahoma"/>
            <family val="2"/>
          </rPr>
          <t>(</t>
        </r>
        <r>
          <rPr>
            <b/>
            <sz val="9"/>
            <color indexed="81"/>
            <rFont val="Tahoma"/>
            <family val="2"/>
          </rPr>
          <t>G) -</t>
        </r>
        <r>
          <rPr>
            <sz val="9"/>
            <color indexed="81"/>
            <rFont val="Tahoma"/>
            <family val="2"/>
          </rPr>
          <t xml:space="preserve"> Green - OK
</t>
        </r>
        <r>
          <rPr>
            <b/>
            <sz val="9"/>
            <color indexed="81"/>
            <rFont val="Tahoma"/>
            <family val="2"/>
          </rPr>
          <t xml:space="preserve">(Y) </t>
        </r>
        <r>
          <rPr>
            <sz val="9"/>
            <color indexed="81"/>
            <rFont val="Tahoma"/>
            <family val="2"/>
          </rPr>
          <t xml:space="preserve">- Yellow - Unsure
</t>
        </r>
        <r>
          <rPr>
            <b/>
            <sz val="9"/>
            <color indexed="81"/>
            <rFont val="Tahoma"/>
            <family val="2"/>
          </rPr>
          <t>(R) -</t>
        </r>
        <r>
          <rPr>
            <sz val="9"/>
            <color indexed="81"/>
            <rFont val="Tahoma"/>
            <family val="2"/>
          </rPr>
          <t xml:space="preserve"> Red - Not OK</t>
        </r>
        <r>
          <rPr>
            <b/>
            <sz val="9"/>
            <color indexed="81"/>
            <rFont val="Tahoma"/>
            <family val="2"/>
          </rPr>
          <t xml:space="preserve">
</t>
        </r>
        <r>
          <rPr>
            <sz val="9"/>
            <color indexed="81"/>
            <rFont val="Tahoma"/>
            <family val="2"/>
          </rPr>
          <t xml:space="preserve">
</t>
        </r>
      </text>
    </comment>
    <comment ref="O9" authorId="0" shapeId="0" xr:uid="{72353AB7-E94E-4018-A4F4-32381BCFBE23}">
      <text>
        <r>
          <rPr>
            <sz val="9"/>
            <color indexed="81"/>
            <rFont val="Tahoma"/>
            <family val="2"/>
          </rPr>
          <t>0 c. 0% means number of credits achieved and contribution to score.</t>
        </r>
        <r>
          <rPr>
            <sz val="9"/>
            <color indexed="81"/>
            <rFont val="Tahoma"/>
            <family val="2"/>
          </rPr>
          <t xml:space="preserve">
</t>
        </r>
      </text>
    </comment>
    <comment ref="V9" authorId="0" shapeId="0" xr:uid="{58D8B135-5C11-4997-A3D7-5AE08EB87F00}">
      <text>
        <r>
          <rPr>
            <sz val="9"/>
            <color indexed="81"/>
            <rFont val="Tahoma"/>
            <family val="2"/>
          </rPr>
          <t>0 c. 0% means number of credits achieved and contribution to score.</t>
        </r>
      </text>
    </comment>
    <comment ref="E46" authorId="0" shapeId="0" xr:uid="{253B3D45-5FEB-4C4D-B97C-1EE64C83FD38}">
      <text>
        <r>
          <rPr>
            <sz val="9"/>
            <color indexed="81"/>
            <rFont val="Tahoma"/>
            <family val="2"/>
          </rPr>
          <t xml:space="preserve">Requirement: The project must have achieved credits in </t>
        </r>
        <r>
          <rPr>
            <b/>
            <sz val="9"/>
            <color indexed="81"/>
            <rFont val="Tahoma"/>
            <family val="2"/>
          </rPr>
          <t>Mat 05</t>
        </r>
        <r>
          <rPr>
            <sz val="9"/>
            <color indexed="81"/>
            <rFont val="Tahoma"/>
            <family val="2"/>
          </rPr>
          <t xml:space="preserve"> criteria 6–8 Control plan and moisture measurements.</t>
        </r>
      </text>
    </comment>
    <comment ref="E66" authorId="0" shapeId="0" xr:uid="{18C746A1-0AE3-45F3-9838-043A6EA2652A}">
      <text>
        <r>
          <rPr>
            <sz val="9"/>
            <color indexed="81"/>
            <rFont val="Tahoma"/>
            <family val="2"/>
          </rPr>
          <t>Requirement: Hea 03 Thermal comfort: Thermal modelling (N/A for shell only)</t>
        </r>
      </text>
    </comment>
    <comment ref="E133" authorId="0" shapeId="0" xr:uid="{787C9B7F-FF07-4CA5-B5ED-FC86A40CD8F7}">
      <text>
        <r>
          <rPr>
            <sz val="9"/>
            <color indexed="81"/>
            <rFont val="Tahoma"/>
            <family val="2"/>
          </rPr>
          <t>Requirement for Hea 02 Pre-requisite: indoor air quality</t>
        </r>
      </text>
    </comment>
    <comment ref="E214" authorId="0" shapeId="0" xr:uid="{E5C9B72E-1444-4753-8B9F-4041CAE9350A}">
      <text>
        <r>
          <rPr>
            <b/>
            <sz val="9"/>
            <color indexed="81"/>
            <rFont val="Tahoma"/>
            <family val="2"/>
          </rPr>
          <t>Requirement:</t>
        </r>
        <r>
          <rPr>
            <sz val="9"/>
            <color indexed="81"/>
            <rFont val="Tahoma"/>
            <family val="2"/>
          </rPr>
          <t xml:space="preserve">
Ene 01: Prediction of operational energy consumption 
Ene 02: Energy monitoring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Oddbjørn Dahlstrøm</author>
    <author>Oddbjørn Dahlstrøm Andvik</author>
  </authors>
  <commentList>
    <comment ref="AA62" authorId="0" shapeId="0" xr:uid="{00000000-0006-0000-0300-000001000000}">
      <text>
        <r>
          <rPr>
            <sz val="9"/>
            <color indexed="81"/>
            <rFont val="Tahoma"/>
            <family val="2"/>
          </rPr>
          <t>Må være slik for å få manuell filtrering ved Bespokt til å fungere</t>
        </r>
      </text>
    </comment>
    <comment ref="E79" authorId="1" shapeId="0" xr:uid="{443B899F-3E52-4437-A113-E2063BB823B0}">
      <text>
        <r>
          <rPr>
            <b/>
            <sz val="9"/>
            <color indexed="81"/>
            <rFont val="Tahoma"/>
            <family val="2"/>
          </rPr>
          <t>Skal være 1</t>
        </r>
        <r>
          <rPr>
            <sz val="9"/>
            <color indexed="81"/>
            <rFont val="Tahoma"/>
            <family val="2"/>
          </rPr>
          <t xml:space="preserve">
</t>
        </r>
      </text>
    </comment>
    <comment ref="F79" authorId="1" shapeId="0" xr:uid="{5CF6CBF8-C714-4294-B802-308024A0E07F}">
      <text>
        <r>
          <rPr>
            <b/>
            <sz val="9"/>
            <color indexed="81"/>
            <rFont val="Tahoma"/>
            <family val="2"/>
          </rPr>
          <t>Skal være 1</t>
        </r>
        <r>
          <rPr>
            <sz val="9"/>
            <color indexed="81"/>
            <rFont val="Tahoma"/>
            <family val="2"/>
          </rPr>
          <t xml:space="preserve">
</t>
        </r>
      </text>
    </comment>
    <comment ref="G79" authorId="1" shapeId="0" xr:uid="{A7A24F0F-9C85-4CD8-9F37-A4CA70F9C766}">
      <text>
        <r>
          <rPr>
            <b/>
            <sz val="9"/>
            <color indexed="81"/>
            <rFont val="Tahoma"/>
            <family val="2"/>
          </rPr>
          <t>Skal være 1</t>
        </r>
        <r>
          <rPr>
            <sz val="9"/>
            <color indexed="81"/>
            <rFont val="Tahoma"/>
            <family val="2"/>
          </rPr>
          <t xml:space="preserve">
</t>
        </r>
      </text>
    </comment>
    <comment ref="H79" authorId="1" shapeId="0" xr:uid="{5A397767-B974-492E-BE9E-979C7004A2BC}">
      <text>
        <r>
          <rPr>
            <b/>
            <sz val="9"/>
            <color indexed="81"/>
            <rFont val="Tahoma"/>
            <family val="2"/>
          </rPr>
          <t>Skal være 1</t>
        </r>
        <r>
          <rPr>
            <sz val="9"/>
            <color indexed="81"/>
            <rFont val="Tahoma"/>
            <family val="2"/>
          </rPr>
          <t xml:space="preserve">
</t>
        </r>
      </text>
    </comment>
    <comment ref="I79" authorId="1" shapeId="0" xr:uid="{99A478BC-B705-4717-904C-B484569AD718}">
      <text>
        <r>
          <rPr>
            <b/>
            <sz val="9"/>
            <color indexed="81"/>
            <rFont val="Tahoma"/>
            <family val="2"/>
          </rPr>
          <t>Skal være 1</t>
        </r>
        <r>
          <rPr>
            <sz val="9"/>
            <color indexed="81"/>
            <rFont val="Tahoma"/>
            <family val="2"/>
          </rPr>
          <t xml:space="preserve">
</t>
        </r>
      </text>
    </comment>
    <comment ref="J79" authorId="1" shapeId="0" xr:uid="{33F3245B-923B-4646-AE09-696883125E15}">
      <text>
        <r>
          <rPr>
            <b/>
            <sz val="9"/>
            <color indexed="81"/>
            <rFont val="Tahoma"/>
            <family val="2"/>
          </rPr>
          <t>Skal være 1</t>
        </r>
        <r>
          <rPr>
            <sz val="9"/>
            <color indexed="81"/>
            <rFont val="Tahoma"/>
            <family val="2"/>
          </rPr>
          <t xml:space="preserve">
</t>
        </r>
      </text>
    </comment>
    <comment ref="K79" authorId="1" shapeId="0" xr:uid="{F8A6BD9A-25BD-4749-BAB0-7E28E7D6BC89}">
      <text>
        <r>
          <rPr>
            <b/>
            <sz val="9"/>
            <color indexed="81"/>
            <rFont val="Tahoma"/>
            <family val="2"/>
          </rPr>
          <t>Skal være 1</t>
        </r>
        <r>
          <rPr>
            <sz val="9"/>
            <color indexed="81"/>
            <rFont val="Tahoma"/>
            <family val="2"/>
          </rPr>
          <t xml:space="preserve">
</t>
        </r>
      </text>
    </comment>
    <comment ref="L79" authorId="1" shapeId="0" xr:uid="{60F5FF42-633E-4D84-BB49-9704BF9ED20C}">
      <text>
        <r>
          <rPr>
            <b/>
            <sz val="9"/>
            <color indexed="81"/>
            <rFont val="Tahoma"/>
            <family val="2"/>
          </rPr>
          <t>Skal være 1</t>
        </r>
        <r>
          <rPr>
            <sz val="9"/>
            <color indexed="81"/>
            <rFont val="Tahoma"/>
            <family val="2"/>
          </rPr>
          <t xml:space="preserve">
</t>
        </r>
      </text>
    </comment>
    <comment ref="M79" authorId="1" shapeId="0" xr:uid="{D9769830-0832-49ED-A0B4-571B9B17A365}">
      <text>
        <r>
          <rPr>
            <b/>
            <sz val="9"/>
            <color indexed="81"/>
            <rFont val="Tahoma"/>
            <family val="2"/>
          </rPr>
          <t>Skal være 1</t>
        </r>
        <r>
          <rPr>
            <sz val="9"/>
            <color indexed="81"/>
            <rFont val="Tahoma"/>
            <family val="2"/>
          </rPr>
          <t xml:space="preserve">
</t>
        </r>
      </text>
    </comment>
    <comment ref="N79" authorId="1" shapeId="0" xr:uid="{7E448815-A28D-4AE5-8953-13D2BD3643E0}">
      <text>
        <r>
          <rPr>
            <b/>
            <sz val="9"/>
            <color indexed="81"/>
            <rFont val="Tahoma"/>
            <family val="2"/>
          </rPr>
          <t>Skal være 1</t>
        </r>
        <r>
          <rPr>
            <sz val="9"/>
            <color indexed="81"/>
            <rFont val="Tahoma"/>
            <family val="2"/>
          </rPr>
          <t xml:space="preserve">
</t>
        </r>
      </text>
    </comment>
    <comment ref="O79" authorId="1" shapeId="0" xr:uid="{032BE33F-1AEF-4F1B-B478-7D777E336E32}">
      <text>
        <r>
          <rPr>
            <b/>
            <sz val="9"/>
            <color indexed="81"/>
            <rFont val="Tahoma"/>
            <family val="2"/>
          </rPr>
          <t>Skal være 1</t>
        </r>
        <r>
          <rPr>
            <sz val="9"/>
            <color indexed="81"/>
            <rFont val="Tahoma"/>
            <family val="2"/>
          </rPr>
          <t xml:space="preserve">
</t>
        </r>
      </text>
    </comment>
    <comment ref="P79" authorId="1" shapeId="0" xr:uid="{BF3967F9-09C2-4604-BB49-7A0551D9B0EE}">
      <text>
        <r>
          <rPr>
            <b/>
            <sz val="9"/>
            <color indexed="81"/>
            <rFont val="Tahoma"/>
            <family val="2"/>
          </rPr>
          <t>Skal være 1</t>
        </r>
        <r>
          <rPr>
            <sz val="9"/>
            <color indexed="81"/>
            <rFont val="Tahoma"/>
            <family val="2"/>
          </rPr>
          <t xml:space="preserve">
</t>
        </r>
      </text>
    </comment>
    <comment ref="Q79" authorId="1" shapeId="0" xr:uid="{BB8D662A-8A58-4001-94F7-FEDE9B68BCD7}">
      <text>
        <r>
          <rPr>
            <b/>
            <sz val="9"/>
            <color indexed="81"/>
            <rFont val="Tahoma"/>
            <family val="2"/>
          </rPr>
          <t>Skal være 1</t>
        </r>
        <r>
          <rPr>
            <sz val="9"/>
            <color indexed="81"/>
            <rFont val="Tahoma"/>
            <family val="2"/>
          </rPr>
          <t xml:space="preserve">
</t>
        </r>
      </text>
    </comment>
    <comment ref="T101" authorId="1" shapeId="0" xr:uid="{7A97D175-62DB-4838-A19C-59B6F0991062}">
      <text>
        <r>
          <rPr>
            <sz val="9"/>
            <color indexed="81"/>
            <rFont val="Tahoma"/>
            <family val="2"/>
          </rPr>
          <t>filter kan nok slettes (08.11.21)</t>
        </r>
      </text>
    </comment>
    <comment ref="BO114" authorId="1" shapeId="0" xr:uid="{D613F3BC-1803-4D88-82A8-5D57FEECF737}">
      <text>
        <r>
          <rPr>
            <b/>
            <sz val="9"/>
            <color indexed="81"/>
            <rFont val="Tahoma"/>
            <family val="2"/>
          </rPr>
          <t>Oddbjørn Dahlstrøm Andvik:</t>
        </r>
        <r>
          <rPr>
            <sz val="9"/>
            <color indexed="81"/>
            <rFont val="Tahoma"/>
            <family val="2"/>
          </rPr>
          <t xml:space="preserve">
setter til 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<sst xmlns="http://schemas.openxmlformats.org/spreadsheetml/2006/main" count="4102" uniqueCount="1056">
  <si>
    <t xml:space="preserve"> </t>
  </si>
  <si>
    <t>Construction</t>
  </si>
  <si>
    <t>Current Version</t>
  </si>
  <si>
    <t>Previous Versions</t>
  </si>
  <si>
    <t>Mat01</t>
  </si>
  <si>
    <t>Version</t>
  </si>
  <si>
    <t>Release Date</t>
  </si>
  <si>
    <t>Description of changes/additions made to the BREEAM Assessment Scoring and Reporting Tool</t>
  </si>
  <si>
    <t>Copyright</t>
  </si>
  <si>
    <t>Date</t>
  </si>
  <si>
    <t>Residential</t>
  </si>
  <si>
    <t>Building contains multiple tenants/departments/function areas</t>
  </si>
  <si>
    <t>MANAGEMENT</t>
  </si>
  <si>
    <t>Yes</t>
  </si>
  <si>
    <t>No</t>
  </si>
  <si>
    <t>N/A</t>
  </si>
  <si>
    <t>No. of BREEAM credits available</t>
  </si>
  <si>
    <t>BRE Assessment reference no.</t>
  </si>
  <si>
    <t>Client name</t>
  </si>
  <si>
    <t>Building end user/occupier</t>
  </si>
  <si>
    <t>Assessor name</t>
  </si>
  <si>
    <t>Building details</t>
  </si>
  <si>
    <t>Building name</t>
  </si>
  <si>
    <t>Building address</t>
  </si>
  <si>
    <t>Building type (sub-group)</t>
  </si>
  <si>
    <t>Project type</t>
  </si>
  <si>
    <t>Assessment stage</t>
  </si>
  <si>
    <t>Project team details</t>
  </si>
  <si>
    <t>Developer</t>
  </si>
  <si>
    <t>Principal contractor</t>
  </si>
  <si>
    <t>Project management</t>
  </si>
  <si>
    <t>Office</t>
  </si>
  <si>
    <t>Industrial</t>
  </si>
  <si>
    <t>Retail</t>
  </si>
  <si>
    <t>Education</t>
  </si>
  <si>
    <t>Post Construction (Final, as-built)</t>
  </si>
  <si>
    <t>Major Refurbishment (shell only)</t>
  </si>
  <si>
    <t>New Construction (fully fitted)</t>
  </si>
  <si>
    <t>Major Refurbishment (fully fitted)</t>
  </si>
  <si>
    <t>No laboratory</t>
  </si>
  <si>
    <t>Cat Level 2</t>
  </si>
  <si>
    <t>Cat Level 3</t>
  </si>
  <si>
    <t>Cat Level 1 only</t>
  </si>
  <si>
    <t>Assessor organisation</t>
  </si>
  <si>
    <t>New Construction</t>
  </si>
  <si>
    <t>Credits</t>
  </si>
  <si>
    <t>ENERGY</t>
  </si>
  <si>
    <t>HEALTH &amp; WELLBEING</t>
  </si>
  <si>
    <t>Option not applicable to building type</t>
  </si>
  <si>
    <t>General information</t>
  </si>
  <si>
    <t>BREEAM assessor declaration of assessment accuracy and quality</t>
  </si>
  <si>
    <t>Minimum standards level achieved</t>
  </si>
  <si>
    <t>Please select:</t>
  </si>
  <si>
    <t>Minimum standard(s) level</t>
  </si>
  <si>
    <t>Building type (main description)</t>
  </si>
  <si>
    <t>TRANSPORT</t>
  </si>
  <si>
    <t>WATER</t>
  </si>
  <si>
    <t>MATERIALS</t>
  </si>
  <si>
    <t>WASTE</t>
  </si>
  <si>
    <t>LAND USE &amp; ECOLOGY</t>
  </si>
  <si>
    <t>POLLUTION</t>
  </si>
  <si>
    <t>Water</t>
  </si>
  <si>
    <t>Overall Building Performance</t>
  </si>
  <si>
    <t>Building Performance by Environment Section</t>
  </si>
  <si>
    <t>Management</t>
  </si>
  <si>
    <t>% credits achieved</t>
  </si>
  <si>
    <t>No. credits available</t>
  </si>
  <si>
    <t>Health &amp; Wellbeing</t>
  </si>
  <si>
    <t>Energy</t>
  </si>
  <si>
    <t>Transport</t>
  </si>
  <si>
    <t>Materials</t>
  </si>
  <si>
    <t>Waste</t>
  </si>
  <si>
    <t>Land Use &amp; Ecology</t>
  </si>
  <si>
    <t>Pollution</t>
  </si>
  <si>
    <t>Innovation</t>
  </si>
  <si>
    <t>Unclassified</t>
  </si>
  <si>
    <t>Environmental Section</t>
  </si>
  <si>
    <t>Pass</t>
  </si>
  <si>
    <t>Good</t>
  </si>
  <si>
    <t>Very Good</t>
  </si>
  <si>
    <t>Excellent</t>
  </si>
  <si>
    <t>Outstanding</t>
  </si>
  <si>
    <t>Min. standards level achieved</t>
  </si>
  <si>
    <t>Available contribution to overall score</t>
  </si>
  <si>
    <t>Total contribution to overall building score</t>
  </si>
  <si>
    <t>Pre-assessment</t>
  </si>
  <si>
    <t>Total indicative environmental section performance</t>
  </si>
  <si>
    <t>Indicative total score</t>
  </si>
  <si>
    <t>Navn</t>
  </si>
  <si>
    <t>Issues in BREEAM-NOR v. 1.1</t>
  </si>
  <si>
    <t>P</t>
  </si>
  <si>
    <t>G</t>
  </si>
  <si>
    <t>VG</t>
  </si>
  <si>
    <t>O</t>
  </si>
  <si>
    <t>Man 01</t>
  </si>
  <si>
    <t>Man 02</t>
  </si>
  <si>
    <t>Man 03</t>
  </si>
  <si>
    <t>Man 04</t>
  </si>
  <si>
    <t>Man 05</t>
  </si>
  <si>
    <t>Man 06</t>
  </si>
  <si>
    <t>Man 07</t>
  </si>
  <si>
    <t>Kode</t>
  </si>
  <si>
    <t>Valgt bygg</t>
  </si>
  <si>
    <t>Available credits</t>
  </si>
  <si>
    <t>Contribution to score</t>
  </si>
  <si>
    <t>Total performance management</t>
  </si>
  <si>
    <t>Total performance health &amp; wellbeing</t>
  </si>
  <si>
    <t>Total performance energy</t>
  </si>
  <si>
    <t>Total performance transport</t>
  </si>
  <si>
    <t>Total performance water</t>
  </si>
  <si>
    <t>Total performance materials</t>
  </si>
  <si>
    <t>Total performance waste</t>
  </si>
  <si>
    <t>Total performance land use and ecology</t>
  </si>
  <si>
    <t>Total performance pollution</t>
  </si>
  <si>
    <t>Hea 02 Indoor air quality</t>
  </si>
  <si>
    <t>Hea 03 Thermal comfort</t>
  </si>
  <si>
    <t>Hea 06 Safe access</t>
  </si>
  <si>
    <t>Hea 01 Visual comfort</t>
  </si>
  <si>
    <t>Hea 08 Private space</t>
  </si>
  <si>
    <t>Hea 01</t>
  </si>
  <si>
    <t>Hea 02</t>
  </si>
  <si>
    <t>Hea 03</t>
  </si>
  <si>
    <t>Hea 04</t>
  </si>
  <si>
    <t>Hea 05</t>
  </si>
  <si>
    <t>Hea 06</t>
  </si>
  <si>
    <t>Hea 07</t>
  </si>
  <si>
    <t>Hea 08</t>
  </si>
  <si>
    <t>Hea 09</t>
  </si>
  <si>
    <t>Hea</t>
  </si>
  <si>
    <t>Hea 05 Acoustic performance</t>
  </si>
  <si>
    <t>Ene 01 Energy efficiency</t>
  </si>
  <si>
    <t>Ene 03 External lighting</t>
  </si>
  <si>
    <t>Ene 05 Energy efficient cold storage</t>
  </si>
  <si>
    <t>Ene 06 Energy efficient transportation systems</t>
  </si>
  <si>
    <t>Ene 07 Energy Efficient Laboratory Systems</t>
  </si>
  <si>
    <t>Ene 08 Energy efficient equipment</t>
  </si>
  <si>
    <t>Ene 02 Energy monitoring</t>
  </si>
  <si>
    <t>Ene 01</t>
  </si>
  <si>
    <t>Ene 02</t>
  </si>
  <si>
    <t>Ene 03</t>
  </si>
  <si>
    <t>Ene 04</t>
  </si>
  <si>
    <t>Ene 05</t>
  </si>
  <si>
    <t>Ene 06</t>
  </si>
  <si>
    <t>Ene 07</t>
  </si>
  <si>
    <t>Ene 08</t>
  </si>
  <si>
    <t>Ene 09</t>
  </si>
  <si>
    <t>Ene 23</t>
  </si>
  <si>
    <t>Tra 01 Public transport accessibility</t>
  </si>
  <si>
    <t>Tra 02 Proximity to amenities</t>
  </si>
  <si>
    <t>Tra 01</t>
  </si>
  <si>
    <t>Tra 02</t>
  </si>
  <si>
    <t>Tra 03</t>
  </si>
  <si>
    <t>Tra 04</t>
  </si>
  <si>
    <t>Tra 05</t>
  </si>
  <si>
    <t>Wat 01 Water consumption</t>
  </si>
  <si>
    <t>Wat 02 Water monitoring</t>
  </si>
  <si>
    <t>Wat 03 Water leak detection and prevention</t>
  </si>
  <si>
    <t>Wat 04 Water efficient equipment</t>
  </si>
  <si>
    <t>Mat 01 Life cycle impacts</t>
  </si>
  <si>
    <t>Mat 03 Responsible sourcing of materials</t>
  </si>
  <si>
    <t>Mat 05 Designing for robustness</t>
  </si>
  <si>
    <t>Wst 01 Construction waste management</t>
  </si>
  <si>
    <t>LE 01 Site selection</t>
  </si>
  <si>
    <t>LE 02 Ecological value of site and protection of ecological features</t>
  </si>
  <si>
    <t>LE 04 Enhancing site ecology</t>
  </si>
  <si>
    <t>LE 05 Long term impact on biodiversity</t>
  </si>
  <si>
    <t>POL 01 Impacts of refrigerants</t>
  </si>
  <si>
    <t>POL 04 Reduction of night time light pollution</t>
  </si>
  <si>
    <t>Wst 03 Operational waste</t>
  </si>
  <si>
    <t>LE 06 Building footprint</t>
  </si>
  <si>
    <t>POL 05 Noise attenuation</t>
  </si>
  <si>
    <t>Wat 01</t>
  </si>
  <si>
    <t>Wat 02</t>
  </si>
  <si>
    <t>Wat 03</t>
  </si>
  <si>
    <t>Wat 04</t>
  </si>
  <si>
    <t>Mat 01</t>
  </si>
  <si>
    <t>Mat 03</t>
  </si>
  <si>
    <t>Mat 05</t>
  </si>
  <si>
    <t>Mat 06</t>
  </si>
  <si>
    <t>Wst 01</t>
  </si>
  <si>
    <t>Wst 02</t>
  </si>
  <si>
    <t>Wst 04</t>
  </si>
  <si>
    <t>LE 01</t>
  </si>
  <si>
    <t>LE 02</t>
  </si>
  <si>
    <t>LE 04</t>
  </si>
  <si>
    <t>LE 05</t>
  </si>
  <si>
    <t>LE 06</t>
  </si>
  <si>
    <t>POL 01</t>
  </si>
  <si>
    <t>POL 02</t>
  </si>
  <si>
    <t>POL 03</t>
  </si>
  <si>
    <t>POL 04</t>
  </si>
  <si>
    <t>POL 05</t>
  </si>
  <si>
    <t>Inn 01</t>
  </si>
  <si>
    <t>Inn 02</t>
  </si>
  <si>
    <t>Inn 03</t>
  </si>
  <si>
    <t>Inn 04</t>
  </si>
  <si>
    <t>Inn 05</t>
  </si>
  <si>
    <t>Inn 06</t>
  </si>
  <si>
    <t>Inn 07</t>
  </si>
  <si>
    <t>Assessor registration number</t>
  </si>
  <si>
    <t>Date for Pre-Assessment Estimation</t>
  </si>
  <si>
    <t>Date for design phase</t>
  </si>
  <si>
    <t>Completion Date</t>
  </si>
  <si>
    <t>Disclaimer</t>
  </si>
  <si>
    <t>Credits Achieved</t>
  </si>
  <si>
    <t>Weighting</t>
  </si>
  <si>
    <t>Man</t>
  </si>
  <si>
    <t>Ene</t>
  </si>
  <si>
    <t>Tra</t>
  </si>
  <si>
    <t>Wat</t>
  </si>
  <si>
    <t>Mat</t>
  </si>
  <si>
    <t>Wst</t>
  </si>
  <si>
    <t>LE</t>
  </si>
  <si>
    <t>Pol</t>
  </si>
  <si>
    <t>Inn</t>
  </si>
  <si>
    <t>Section score available</t>
  </si>
  <si>
    <t>Sum</t>
  </si>
  <si>
    <t>Wst 04 Speculative floor and ceiling finishes</t>
  </si>
  <si>
    <t>Initial target setting</t>
  </si>
  <si>
    <t>Exemplary Level (Innovation)</t>
  </si>
  <si>
    <t>N</t>
  </si>
  <si>
    <t>I</t>
  </si>
  <si>
    <t>OK</t>
  </si>
  <si>
    <t>Design phase progression</t>
  </si>
  <si>
    <t>Construction phase progression</t>
  </si>
  <si>
    <t>General comments</t>
  </si>
  <si>
    <t>Inn 08</t>
  </si>
  <si>
    <t>Land &amp; Ecology</t>
  </si>
  <si>
    <t>BREEAM innovation credits</t>
  </si>
  <si>
    <t>Emner med innovation credits</t>
  </si>
  <si>
    <t xml:space="preserve">Original no. of BREEAM credits available </t>
  </si>
  <si>
    <t>Div filter</t>
  </si>
  <si>
    <t>User credits - INITIAL</t>
  </si>
  <si>
    <t>User credits - DESIGN</t>
  </si>
  <si>
    <t>User credits - CONSTRUCTION</t>
  </si>
  <si>
    <t>Spesialtilfeller</t>
  </si>
  <si>
    <t>Yes/No</t>
  </si>
  <si>
    <t>-</t>
  </si>
  <si>
    <t>E</t>
  </si>
  <si>
    <t>Non residential</t>
  </si>
  <si>
    <t>Level</t>
  </si>
  <si>
    <t>Samlet minimumstandard</t>
  </si>
  <si>
    <t>Samlet sum tilgjengelig</t>
  </si>
  <si>
    <t>Samlet sum oppnådd</t>
  </si>
  <si>
    <t>&gt;=</t>
  </si>
  <si>
    <t>&lt;</t>
  </si>
  <si>
    <t>Samlet prosent</t>
  </si>
  <si>
    <t>Skal minimumstandard styre?</t>
  </si>
  <si>
    <t>1=ja, 0=nei</t>
  </si>
  <si>
    <t>The rating has been limited to the min. standards level achieved</t>
  </si>
  <si>
    <t>Tilgjengelig poeng</t>
  </si>
  <si>
    <t>Inn 05 - Mat 01 Life cycle impacts</t>
  </si>
  <si>
    <t>Inn 06 - Mat 03 Responsible sourcing of materials</t>
  </si>
  <si>
    <t>Hvor mange poeng skal bort?</t>
  </si>
  <si>
    <t>Felter merket mørk grønn omfattes av filtreringen</t>
  </si>
  <si>
    <t>Ene 02a</t>
  </si>
  <si>
    <t>Inn 09</t>
  </si>
  <si>
    <t>EXEMPLARY LEVEL AND INNOVATION (max 10 credits)</t>
  </si>
  <si>
    <t>Velge farge på status</t>
  </si>
  <si>
    <t>IT</t>
  </si>
  <si>
    <t>DP</t>
  </si>
  <si>
    <t>CP</t>
  </si>
  <si>
    <t>Stat.</t>
  </si>
  <si>
    <t>Comments</t>
  </si>
  <si>
    <t>Hea 01 Visual comfort - Criteria 1</t>
  </si>
  <si>
    <t>Mat 01 Life cycle impacts  - Criteria 1</t>
  </si>
  <si>
    <t>ikke noe å si for poengfordeling.  Ikke gjør noe med denne</t>
  </si>
  <si>
    <t>Architect (ARK)</t>
  </si>
  <si>
    <t>Samlet poeng</t>
  </si>
  <si>
    <t xml:space="preserve">Pol 1 poeng går ut hvis det er industri som hverkan har treated operational area OG kontor. Dvs det må være nei på BEGGE spørsmål får å ta ut Pol 1 poeng. </t>
  </si>
  <si>
    <t>Pol 1 poeng går ut hvis det er industri som hverkan har treated operational area OG kontor. Dvs det må være nei på BEGGE spørsmål får å ta ut Pol 1 poeng. Hea 03 går ut hvis industri ikke har kontor</t>
  </si>
  <si>
    <t>UTGÅR</t>
  </si>
  <si>
    <t>OK. non residential only.</t>
  </si>
  <si>
    <t>2: Bespoke. Staff plus reasonably constant stream of visitors</t>
  </si>
  <si>
    <t>6: Residential</t>
  </si>
  <si>
    <t>1: Office &amp; Industrial. Staff &amp; occasional business visitors</t>
  </si>
  <si>
    <t>3: Retail and education. Staff with large numbers of visitors</t>
  </si>
  <si>
    <t>4: Bespoke. Rural building with few visitors</t>
  </si>
  <si>
    <t>5: Bespoke. Rural building with large numbers of visitors</t>
  </si>
  <si>
    <t>7: Bespoke. Transport Hub</t>
  </si>
  <si>
    <t>OK. type 3 retail and education, type 6 ta bort dwellings TA UT BESPOKE? Ta ut denne, da poeng er bestemt av bygningstype</t>
  </si>
  <si>
    <t>This information will determine, in part, the number of credits available for BREEAM issue Hea02 when the criteria have been finalised for laboratory facilities.</t>
  </si>
  <si>
    <t>The fields marked with a * are mandatory and must be completed/defined prior to beginning the pre-assessment to ensure an accurate indicative score and BREEAM rating. Note: without this information the pre-assessment tool cannot determine the applicable BREEAM issues and number of credits and data entry will not be possible for the building assessment.</t>
  </si>
  <si>
    <t>Initial</t>
  </si>
  <si>
    <t>Design</t>
  </si>
  <si>
    <t>Søke navn</t>
  </si>
  <si>
    <t>Design phase</t>
  </si>
  <si>
    <t>Construction phase</t>
  </si>
  <si>
    <t>Score</t>
  </si>
  <si>
    <t>No. credits available original</t>
  </si>
  <si>
    <t>No. Credits not available (filter)</t>
  </si>
  <si>
    <t>Fume cupboard(s) and/or other containment devices (Ene 07, Hea 02,? )</t>
  </si>
  <si>
    <t>What is the building type category (for the purpose of the Transport  section)? (Tra 1)</t>
  </si>
  <si>
    <t>Laboratory present: &lt;10% of building's BRA</t>
  </si>
  <si>
    <t>Laboratory present: ≥10% - &lt;25% of building's BRA</t>
  </si>
  <si>
    <t>Laboratory present: ≥25% of building's BRA</t>
  </si>
  <si>
    <t>(G)</t>
  </si>
  <si>
    <t>(Y)</t>
  </si>
  <si>
    <t>(R)</t>
  </si>
  <si>
    <t>(G) - Green - OK</t>
  </si>
  <si>
    <t>(Y) - Yellow - Unsure</t>
  </si>
  <si>
    <t>(R) - Red - Not OK</t>
  </si>
  <si>
    <t>Respon-sible</t>
  </si>
  <si>
    <t>Show results</t>
  </si>
  <si>
    <t>Available</t>
  </si>
  <si>
    <r>
      <t>Gross floor area, BTA - m</t>
    </r>
    <r>
      <rPr>
        <vertAlign val="superscript"/>
        <sz val="11"/>
        <color indexed="9"/>
        <rFont val="Calibri"/>
        <family val="2"/>
      </rPr>
      <t>2</t>
    </r>
  </si>
  <si>
    <r>
      <t>Usable floor area, BRA - m</t>
    </r>
    <r>
      <rPr>
        <vertAlign val="superscript"/>
        <sz val="11"/>
        <color indexed="9"/>
        <rFont val="Calibri"/>
        <family val="2"/>
      </rPr>
      <t>2</t>
    </r>
  </si>
  <si>
    <r>
      <t>Saleable usable floor area, BRAs - m</t>
    </r>
    <r>
      <rPr>
        <vertAlign val="superscript"/>
        <sz val="11"/>
        <color indexed="9"/>
        <rFont val="Calibri"/>
        <family val="2"/>
      </rPr>
      <t>2</t>
    </r>
  </si>
  <si>
    <t>Man 01 Project brief and design</t>
  </si>
  <si>
    <t>Man 02 Life cycle cost and service life planning</t>
  </si>
  <si>
    <t>Man 03 Responsible construction practices</t>
  </si>
  <si>
    <t>Man 05 Aftercare</t>
  </si>
  <si>
    <t>Mat 03 Responsible sourcing of mat.  - Crit 1.</t>
  </si>
  <si>
    <t xml:space="preserve">Copyright exists on the BREEAM logo and this may not be used or reproduced for any purpose without the prior written consent of the NGBC/BRE Global Ltd.
</t>
  </si>
  <si>
    <t>BREEAM-NOR Assessor Signature</t>
  </si>
  <si>
    <t>Indicative BREEAM-NOR rating</t>
  </si>
  <si>
    <t>Tra 06</t>
  </si>
  <si>
    <t xml:space="preserve">Approved innovation credits </t>
  </si>
  <si>
    <t>Consulting engineer Engineering (RIB)</t>
  </si>
  <si>
    <t>Consulting engineer Environment (RIM)</t>
  </si>
  <si>
    <t>Consulting engineer Electrical (RIE)</t>
  </si>
  <si>
    <t>Consulting engineer HVAC (RIV)</t>
  </si>
  <si>
    <t>BREEAM-NOR Accredited Professional</t>
  </si>
  <si>
    <t>BREEAM-NOR scheme</t>
  </si>
  <si>
    <t>BREEAM-NOR version</t>
  </si>
  <si>
    <t>Showroom</t>
  </si>
  <si>
    <t>Apartment Blocks</t>
  </si>
  <si>
    <t>Individual dwelling</t>
  </si>
  <si>
    <t>Collection of individual dwellings/dwelling types</t>
  </si>
  <si>
    <t>Hot food takeaway</t>
  </si>
  <si>
    <t>No, confirmed by appropriate person</t>
  </si>
  <si>
    <t>Unknown</t>
  </si>
  <si>
    <t>Does the building require the use of refrigerants within its installed plant/systems? (Pol 01)</t>
  </si>
  <si>
    <t>Others, project team</t>
  </si>
  <si>
    <t>Use this sheet if you need to copy the Pre-Assessment Estimator to new Excel Workbook</t>
  </si>
  <si>
    <t>For assessment details, HEA 07</t>
  </si>
  <si>
    <t>Please select</t>
  </si>
  <si>
    <t>Bespoke</t>
  </si>
  <si>
    <t>Inn 01 - Man 05 Aftercare</t>
  </si>
  <si>
    <t>Inn 02 - Hea 02 Indoor air quality</t>
  </si>
  <si>
    <t>Inn 03 - Tra 03 Alternative modes of transport</t>
  </si>
  <si>
    <t>Inn 04 - Wat 01 Water consumption</t>
  </si>
  <si>
    <t>Inn 07 - Wst 01 Construction site waste man.</t>
  </si>
  <si>
    <t xml:space="preserve">Inn 09 - Approved innovation credits </t>
  </si>
  <si>
    <t>BREEAM REFERANSE</t>
  </si>
  <si>
    <t>BREEAM-Topic EMNE</t>
  </si>
  <si>
    <t>Available credits TILGJENGELIGE POENG</t>
  </si>
  <si>
    <t>Is credits relevant for the project? Yes/No POENG AKTUELLE FOR PROSJEKTET? JA/NEI</t>
  </si>
  <si>
    <t>Ledelse:</t>
  </si>
  <si>
    <t>YES</t>
  </si>
  <si>
    <t>Responsible construction practices</t>
  </si>
  <si>
    <t>Commissioning and handover</t>
  </si>
  <si>
    <t>Aftercare</t>
  </si>
  <si>
    <t>Helse og innemiljø:</t>
  </si>
  <si>
    <t>NO</t>
  </si>
  <si>
    <t>Private space</t>
  </si>
  <si>
    <t>Energi:</t>
  </si>
  <si>
    <t>Ene 02b</t>
  </si>
  <si>
    <t>External Lighting</t>
  </si>
  <si>
    <t>Energy efficient cold storage</t>
  </si>
  <si>
    <t>Energy efficient transportation systems</t>
  </si>
  <si>
    <t>Energy efficient laboratory systems</t>
  </si>
  <si>
    <t>Energy efficient equipment</t>
  </si>
  <si>
    <t>Transport:</t>
  </si>
  <si>
    <t>Tra 03a</t>
  </si>
  <si>
    <t>Tra 03b</t>
  </si>
  <si>
    <t>Vann:</t>
  </si>
  <si>
    <t>Water consumption</t>
  </si>
  <si>
    <t>Water monitoring</t>
  </si>
  <si>
    <t>Water leak detection and prevention</t>
  </si>
  <si>
    <t>Water efficient equipment</t>
  </si>
  <si>
    <t>Materialer:</t>
  </si>
  <si>
    <t>Designing for robustness</t>
  </si>
  <si>
    <t>Avfall:</t>
  </si>
  <si>
    <t>Construction waste management</t>
  </si>
  <si>
    <t>Wst 03a</t>
  </si>
  <si>
    <t>Operational waste</t>
  </si>
  <si>
    <t>Wst 03b</t>
  </si>
  <si>
    <t>Speculative floor &amp; ceiling finishes</t>
  </si>
  <si>
    <t>Arealbruk og økologi:</t>
  </si>
  <si>
    <t>Site selection</t>
  </si>
  <si>
    <t>Long term impact on biodiversity</t>
  </si>
  <si>
    <t>Forurensning:</t>
  </si>
  <si>
    <t>Pol 01</t>
  </si>
  <si>
    <t>Impact of refrigerants</t>
  </si>
  <si>
    <t>Pol 02</t>
  </si>
  <si>
    <t>Pol 03</t>
  </si>
  <si>
    <t>Pol 04</t>
  </si>
  <si>
    <t xml:space="preserve">Reduction of Night Time Light Pollution </t>
  </si>
  <si>
    <t>Pol 05</t>
  </si>
  <si>
    <t>Reduction of noise pollution</t>
  </si>
  <si>
    <t>Innovasjon:</t>
  </si>
  <si>
    <t>BESPOKE</t>
  </si>
  <si>
    <t>TEST</t>
  </si>
  <si>
    <t>Lim inn her</t>
  </si>
  <si>
    <t>Building name:</t>
  </si>
  <si>
    <t>Land use &amp; Ecology</t>
  </si>
  <si>
    <t>Exemplary level and innovation (max 10 credits)</t>
  </si>
  <si>
    <t>Man 04 Commissioning and handover</t>
  </si>
  <si>
    <t>POL 02 NOx emissions</t>
  </si>
  <si>
    <t>Building description</t>
  </si>
  <si>
    <t>Comment</t>
  </si>
  <si>
    <t>Pre-Assessment Estimator, version:</t>
  </si>
  <si>
    <t>The BREEAM and BREEAM-NOR name and logo are registered trademarks of the Building Research Establishment Limited.</t>
  </si>
  <si>
    <t>Inn 08 - Wst 02 Recycled aggregates</t>
  </si>
  <si>
    <t>Shell and core</t>
  </si>
  <si>
    <t>Ja</t>
  </si>
  <si>
    <t>Nei</t>
  </si>
  <si>
    <t>Option 1</t>
  </si>
  <si>
    <t>Option 2</t>
  </si>
  <si>
    <t>Option 3</t>
  </si>
  <si>
    <t>Næringsbygg</t>
  </si>
  <si>
    <t>Option 2:  -50% credit</t>
  </si>
  <si>
    <t xml:space="preserve">Naturally ventilated </t>
  </si>
  <si>
    <t>Shell core</t>
  </si>
  <si>
    <t>HEA 01</t>
  </si>
  <si>
    <t>HEA 02</t>
  </si>
  <si>
    <t>ENE 02a</t>
  </si>
  <si>
    <t>WAT 03</t>
  </si>
  <si>
    <t>ledig</t>
  </si>
  <si>
    <t>Faktor</t>
  </si>
  <si>
    <t>minus</t>
  </si>
  <si>
    <t>Hva</t>
  </si>
  <si>
    <t>Maks</t>
  </si>
  <si>
    <t>gange</t>
  </si>
  <si>
    <t>S/C</t>
  </si>
  <si>
    <t>Shell/core</t>
  </si>
  <si>
    <t>Endring</t>
  </si>
  <si>
    <t>Shell Core</t>
  </si>
  <si>
    <t>Påvirker poeng</t>
  </si>
  <si>
    <t>Juster endring</t>
  </si>
  <si>
    <t>Minus</t>
  </si>
  <si>
    <t>INN</t>
  </si>
  <si>
    <t>Gange</t>
  </si>
  <si>
    <t>Ny maksverdi ved nei</t>
  </si>
  <si>
    <t>Hvis ikke S/C</t>
  </si>
  <si>
    <t>Innovasjon</t>
  </si>
  <si>
    <t>Minus elelr gange</t>
  </si>
  <si>
    <t>S/C bare næring. Ja = bare næring. Nei = kun bolig</t>
  </si>
  <si>
    <t>Alle</t>
  </si>
  <si>
    <t>VOC N/A</t>
  </si>
  <si>
    <t>Sub-metering N/A</t>
  </si>
  <si>
    <t>Flow control N/A</t>
  </si>
  <si>
    <t>O2: Glare control (-0,5 c)</t>
  </si>
  <si>
    <t>O2: Artificial lighting (-0,5 c)</t>
  </si>
  <si>
    <t>O1: Glare ctrl/artificial light</t>
  </si>
  <si>
    <t>O1: VOC</t>
  </si>
  <si>
    <t>O2: VOC (AC 6-7: -0,5 c)</t>
  </si>
  <si>
    <t>O2: VOC (AC 8-9: -1,0 c)</t>
  </si>
  <si>
    <t>O3: VOC</t>
  </si>
  <si>
    <t>O2: Flow control (-0,5 c)</t>
  </si>
  <si>
    <t>O1: Flow control</t>
  </si>
  <si>
    <t xml:space="preserve">O3: Flow control </t>
  </si>
  <si>
    <t>O1: Sub-metering</t>
  </si>
  <si>
    <t>O2: Sub-met. (AC 1-3: -0,5 c)</t>
  </si>
  <si>
    <t>O2: Sub-met. (AC 4-7: -1,0 c)</t>
  </si>
  <si>
    <t>O3: Sub-metering</t>
  </si>
  <si>
    <t>O3: Glare ctrl/artif lighting</t>
  </si>
  <si>
    <t>O2: Glare ctrl &amp; artif light (-1,0 c)</t>
  </si>
  <si>
    <t>Glare ctrl/artif lighting N/A</t>
  </si>
  <si>
    <t>Påvirker minimumspoeng</t>
  </si>
  <si>
    <t>shell core</t>
  </si>
  <si>
    <t>Option 2: Where relevant, 50% of achieved credit is subtracted from score.</t>
  </si>
  <si>
    <t>Tra 01 Transport assessment and travel plan</t>
  </si>
  <si>
    <t>Tra 02 Sustainable transport measures</t>
  </si>
  <si>
    <t>Mat 01 Environmental impacts from construction products - Building life cycle assessment (LCA)</t>
  </si>
  <si>
    <t>Mat 02 Environmental impacts from construction products - Environmental Product Declarations (EPD)</t>
  </si>
  <si>
    <t>Mat 03 Responsible sourcing of construction products</t>
  </si>
  <si>
    <t>Mat 05 Designing for durability and resilience</t>
  </si>
  <si>
    <t>Mat 06 Material efficiency</t>
  </si>
  <si>
    <t>Mat 07 Endringsdyktighet og ombrukbarhet</t>
  </si>
  <si>
    <t>LE 02 Ecological risks and opportunities</t>
  </si>
  <si>
    <t>LE 03 Managing impacts on ecology</t>
  </si>
  <si>
    <t>LE 04 Ecological change and enhancement</t>
  </si>
  <si>
    <t>LE 05 Long term ecology management and maintenance</t>
  </si>
  <si>
    <t>POL 02 Local air quality</t>
  </si>
  <si>
    <t>Inn 10</t>
  </si>
  <si>
    <t>Inn 11</t>
  </si>
  <si>
    <t>Inn 12</t>
  </si>
  <si>
    <t>Inn 13</t>
  </si>
  <si>
    <t>Mat 02</t>
  </si>
  <si>
    <t>Mat 07</t>
  </si>
  <si>
    <t>LE 03</t>
  </si>
  <si>
    <t>LE 07</t>
  </si>
  <si>
    <t>LE 08</t>
  </si>
  <si>
    <t>Healthcare</t>
  </si>
  <si>
    <t>Prison</t>
  </si>
  <si>
    <t>Law Court</t>
  </si>
  <si>
    <t>Residential institution (long term stay)</t>
  </si>
  <si>
    <t>Residential institution (short term stay)</t>
  </si>
  <si>
    <t>Non-residential institution</t>
  </si>
  <si>
    <t>Assembly and leisure</t>
  </si>
  <si>
    <t>General office buildings</t>
  </si>
  <si>
    <t>Offices with research and development areas (i.e. category 1 labs only)</t>
  </si>
  <si>
    <t>Warehouse, storage or distribution</t>
  </si>
  <si>
    <t>Process, manufacturing or vehicle servicing</t>
  </si>
  <si>
    <t>Shop or shopping centre</t>
  </si>
  <si>
    <t>Retail park or warehouse</t>
  </si>
  <si>
    <t>‘Over the counter’ service provider, e.g. financial, estate and employment agencies and betting offices</t>
  </si>
  <si>
    <t>Restaurant, café and drinking establishment</t>
  </si>
  <si>
    <t>Preschool</t>
  </si>
  <si>
    <t xml:space="preserve">Primary School </t>
  </si>
  <si>
    <t>Schools and sixth form colleges</t>
  </si>
  <si>
    <t>Higher education institutions</t>
  </si>
  <si>
    <t>Teaching or specialist hospitals</t>
  </si>
  <si>
    <t>General acute hospitals</t>
  </si>
  <si>
    <t>Community and mental health hospitals</t>
  </si>
  <si>
    <t>GP surgeries</t>
  </si>
  <si>
    <t>Health centres and clinics</t>
  </si>
  <si>
    <t>High security prison</t>
  </si>
  <si>
    <t>Standard secured prison</t>
  </si>
  <si>
    <t>Young offender institution and juvenile prisons</t>
  </si>
  <si>
    <t>Local prison</t>
  </si>
  <si>
    <t>Holding centre</t>
  </si>
  <si>
    <t>Law courts</t>
  </si>
  <si>
    <t>Crown and criminal courts</t>
  </si>
  <si>
    <t>County courts</t>
  </si>
  <si>
    <t>Magistrates' courts</t>
  </si>
  <si>
    <t>Civil justice centres</t>
  </si>
  <si>
    <t>Family courts</t>
  </si>
  <si>
    <t>Youth courts</t>
  </si>
  <si>
    <t>Combined courts</t>
  </si>
  <si>
    <t>Residential care home</t>
  </si>
  <si>
    <t>Sheltered accommodation</t>
  </si>
  <si>
    <t>Residential college or school (halls of residence)</t>
  </si>
  <si>
    <t>Local authority secure residential accommodation</t>
  </si>
  <si>
    <t>Key worker accommodation</t>
  </si>
  <si>
    <t>Military barracks</t>
  </si>
  <si>
    <t>Hotel, hostel, boarding and guest house</t>
  </si>
  <si>
    <t>Secure training centre</t>
  </si>
  <si>
    <t>Residential training centre</t>
  </si>
  <si>
    <t>Art gallery, museum</t>
  </si>
  <si>
    <t>Library</t>
  </si>
  <si>
    <t>Day centre, hall, civic or community centre</t>
  </si>
  <si>
    <t>Place of worship</t>
  </si>
  <si>
    <t>Cinema</t>
  </si>
  <si>
    <t>Theatre, music or concert hall</t>
  </si>
  <si>
    <t>Exhibition or conference hall</t>
  </si>
  <si>
    <t>Indoor or outdoor sports, fitness and recreation centre (with or without pool)</t>
  </si>
  <si>
    <t>Upper Secondary School</t>
  </si>
  <si>
    <t>Total credits available BREEAM-NOR 2021</t>
  </si>
  <si>
    <t>BREEAM-NOR 2021</t>
  </si>
  <si>
    <t>Mat 02 Checklist A20 - Criteria 1</t>
  </si>
  <si>
    <t>Ene 01 Kriterium 9-10</t>
  </si>
  <si>
    <t>Hea02</t>
  </si>
  <si>
    <t>Hea 02 Emisjoner fra byggeprodukter - Criteria 3-4</t>
  </si>
  <si>
    <t>Crit. 3</t>
  </si>
  <si>
    <t>Crit. 4</t>
  </si>
  <si>
    <t>Man01</t>
  </si>
  <si>
    <t>Man 01 Criteria 11</t>
  </si>
  <si>
    <t>Man03</t>
  </si>
  <si>
    <t>Man04</t>
  </si>
  <si>
    <t>Tra01</t>
  </si>
  <si>
    <t>Mat06</t>
  </si>
  <si>
    <t>Mat07</t>
  </si>
  <si>
    <t>Wst01</t>
  </si>
  <si>
    <t>Crit. 5-6</t>
  </si>
  <si>
    <t>Crit. 5-9</t>
  </si>
  <si>
    <t>Crit. 5-13</t>
  </si>
  <si>
    <t>Man 03 Criteria 5-13</t>
  </si>
  <si>
    <t>Man05</t>
  </si>
  <si>
    <t>Man 05 Criteria 3</t>
  </si>
  <si>
    <t>Tra 01 Mobilitetsplan Criteria 6</t>
  </si>
  <si>
    <t>Crit. 5</t>
  </si>
  <si>
    <t>Crit. 1, 5</t>
  </si>
  <si>
    <t>Crit. 1, 4, 5</t>
  </si>
  <si>
    <t>Wst 01 Criteria 1, 4, 5</t>
  </si>
  <si>
    <t>Pol 1 UT. Pol02 og Pol 5 OK</t>
  </si>
  <si>
    <t>Pol 1 UT. Pol 2, Hea 02, Hea 03 OK</t>
  </si>
  <si>
    <t>Crit. 1-2</t>
  </si>
  <si>
    <t>Crit. 1-2, 3 (1 cre.)</t>
  </si>
  <si>
    <t>Mat 01 Criteria 1 - 3</t>
  </si>
  <si>
    <t>Mat 06 Materialeffektivitet Criteria 1</t>
  </si>
  <si>
    <t>Mat 07 Criteria 2-6</t>
  </si>
  <si>
    <t>Man 05: Non residential</t>
  </si>
  <si>
    <t>Ene01</t>
  </si>
  <si>
    <t>Boliger og boliginstitusjoner: 4</t>
  </si>
  <si>
    <t>Boliger og omsorgsboliger kan oppnå 2p for Inkluderende design. Alle andre kan oppnå 1p</t>
  </si>
  <si>
    <t>Tidligere navn:</t>
  </si>
  <si>
    <t>Crit. 1-8</t>
  </si>
  <si>
    <t>Crit. 1-4</t>
  </si>
  <si>
    <t>Mat 02 - Checklist A20 - Criteria 1</t>
  </si>
  <si>
    <t>Man 01 - Criteria 11</t>
  </si>
  <si>
    <t>Ene 01 - Kriterium 9-10</t>
  </si>
  <si>
    <t>Tra 01 - Mobilitetsplan Criteria 6</t>
  </si>
  <si>
    <t>Mat 06 - Materialeffektivitet Criteria 1</t>
  </si>
  <si>
    <t>Mat 07 - Criteria 2-6</t>
  </si>
  <si>
    <t>Mat 03 - Responsible sourcing of mat.  - Crit 1.</t>
  </si>
  <si>
    <t>Man 05 - Criteria 3</t>
  </si>
  <si>
    <t>Third party stakeholder consultation</t>
  </si>
  <si>
    <t>BREEAM-NOR AP (stage 2 and 3)</t>
  </si>
  <si>
    <t>BREEAM-NOR AP (stage 4)</t>
  </si>
  <si>
    <t xml:space="preserve">Climate gas calculation for whole building life cycle </t>
  </si>
  <si>
    <t>Planning project delivery</t>
  </si>
  <si>
    <t>Elemental life cycle cost (LCC) and capital cost reporting</t>
  </si>
  <si>
    <t>Component level life option appraisal</t>
  </si>
  <si>
    <t>Environmental managment</t>
  </si>
  <si>
    <t>BREEAM-NOR AP and classification level (stage 5 and 6)</t>
  </si>
  <si>
    <t>Considerate construction managment</t>
  </si>
  <si>
    <t xml:space="preserve">Reduction of climate gas emissions from activites assosiated with the construction site </t>
  </si>
  <si>
    <t xml:space="preserve">Commissioning - testing schedule and responsibilities </t>
  </si>
  <si>
    <t>Commissioning - design, preperation and implementation</t>
  </si>
  <si>
    <t>Prepare for good handover</t>
  </si>
  <si>
    <t>Aftercare support</t>
  </si>
  <si>
    <t>Sesonal commisioning</t>
  </si>
  <si>
    <t>Post-occypancy evaluation</t>
  </si>
  <si>
    <t>Daylighting</t>
  </si>
  <si>
    <t xml:space="preserve">Control of glare from sunlight </t>
  </si>
  <si>
    <t xml:space="preserve">View out </t>
  </si>
  <si>
    <t xml:space="preserve">Sunlight </t>
  </si>
  <si>
    <t xml:space="preserve">Internal and external lighting levels, zoning and control </t>
  </si>
  <si>
    <t xml:space="preserve">Pre-requisite: indoor air quality </t>
  </si>
  <si>
    <t>Ventilation</t>
  </si>
  <si>
    <t xml:space="preserve">Emissions from construction products </t>
  </si>
  <si>
    <t xml:space="preserve">Post-construction indoor air quality measurement </t>
  </si>
  <si>
    <t xml:space="preserve">Thermal modelling </t>
  </si>
  <si>
    <t xml:space="preserve">Design for future thermal comfort </t>
  </si>
  <si>
    <t xml:space="preserve">Thermal zoning and controls </t>
  </si>
  <si>
    <t xml:space="preserve">Pre-requisite: suitably qualified acoustician </t>
  </si>
  <si>
    <t xml:space="preserve">Sound class requirements </t>
  </si>
  <si>
    <t xml:space="preserve">Inclusive design </t>
  </si>
  <si>
    <t xml:space="preserve">Biofilik design </t>
  </si>
  <si>
    <t xml:space="preserve">Private outdoor spaces </t>
  </si>
  <si>
    <t xml:space="preserve">Passive design </t>
  </si>
  <si>
    <t xml:space="preserve">Low and zero carbon technologies </t>
  </si>
  <si>
    <t xml:space="preserve">Energy performance </t>
  </si>
  <si>
    <t xml:space="preserve">Adaptation to EU taxonomy </t>
  </si>
  <si>
    <t xml:space="preserve">Prediction of operational energy consumption </t>
  </si>
  <si>
    <t xml:space="preserve">Sub-metering of end-use categories </t>
  </si>
  <si>
    <t xml:space="preserve">Sub-metering of high energy load and tenancy areas </t>
  </si>
  <si>
    <t xml:space="preserve">Sub-metering of energy consumption in residential buildings </t>
  </si>
  <si>
    <t>No external lighting within the construction zone</t>
  </si>
  <si>
    <t>External lighting within the construction zone</t>
  </si>
  <si>
    <t xml:space="preserve">Design of energy efficient refrigeration- and freezing room </t>
  </si>
  <si>
    <t xml:space="preserve">Indirect greenhouse gas emissions </t>
  </si>
  <si>
    <t xml:space="preserve">Energy consumption </t>
  </si>
  <si>
    <t xml:space="preserve">Energy efficient features </t>
  </si>
  <si>
    <t xml:space="preserve">Design specification </t>
  </si>
  <si>
    <t xml:space="preserve">Best practice energy efficient measures </t>
  </si>
  <si>
    <t xml:space="preserve">Reduction of the building's significant unregulated energy consumption </t>
  </si>
  <si>
    <t xml:space="preserve">Transport assessment and travel plan </t>
  </si>
  <si>
    <t xml:space="preserve">Travel plan emissions evaluation </t>
  </si>
  <si>
    <t>Prerequisite: Transport assessment and travel plan</t>
  </si>
  <si>
    <t xml:space="preserve">Transport options implementation </t>
  </si>
  <si>
    <t>Water efficient components</t>
  </si>
  <si>
    <t>Water meter</t>
  </si>
  <si>
    <t>Leak detection system</t>
  </si>
  <si>
    <t>Flow control devices (all buildings except residential)</t>
  </si>
  <si>
    <t>Leak isolation</t>
  </si>
  <si>
    <t>Pre-requisite: early stage greenhouse gas calculation</t>
  </si>
  <si>
    <t>Reduction of greenhouse gas emissions</t>
  </si>
  <si>
    <t>Life cycle assessment of the building</t>
  </si>
  <si>
    <t>Minimum req -  Absence of environmental toxins</t>
  </si>
  <si>
    <t xml:space="preserve">EPD for construction products </t>
  </si>
  <si>
    <t xml:space="preserve">Performance requirements for construction products </t>
  </si>
  <si>
    <t>Minimum req -  legal and sustainable timber</t>
  </si>
  <si>
    <t>Enabling sustainable procurement</t>
  </si>
  <si>
    <t>Responsible sourcing of relevant materials</t>
  </si>
  <si>
    <t>Pre-requisite: risk analysis</t>
  </si>
  <si>
    <t>Protect vulnerable parts of the building from damage</t>
  </si>
  <si>
    <t xml:space="preserve">Protecting exposed parts of the building from material degradation </t>
  </si>
  <si>
    <t>Moisture protecion on site</t>
  </si>
  <si>
    <t>Mapping for component reuse and implementation</t>
  </si>
  <si>
    <t>Material efficency</t>
  </si>
  <si>
    <t>Reuse of extern building components</t>
  </si>
  <si>
    <t>Material bank</t>
  </si>
  <si>
    <t xml:space="preserve">Design for disassembly and functional adaptability - recommendations </t>
  </si>
  <si>
    <t xml:space="preserve">Disassembly and functional adaptability - implementation </t>
  </si>
  <si>
    <t>Resource managment plan</t>
  </si>
  <si>
    <t>Amount of construction waste</t>
  </si>
  <si>
    <t>Waste sorting, reuse and recycling</t>
  </si>
  <si>
    <t>Sorting of waste</t>
  </si>
  <si>
    <t xml:space="preserve">User involvement surface finishes </t>
  </si>
  <si>
    <t>Wst 04 User involvement surface finishes</t>
  </si>
  <si>
    <t>Previously occupied land</t>
  </si>
  <si>
    <t>Pre-requisite: statutory obligations</t>
  </si>
  <si>
    <t>Survey and evaluation</t>
  </si>
  <si>
    <t>Determin ecological possibilities</t>
  </si>
  <si>
    <t>Pre-requisite: ecological risks and opportunities</t>
  </si>
  <si>
    <t>Planning and measures on site</t>
  </si>
  <si>
    <t>Managing negative impacts</t>
  </si>
  <si>
    <t>Pre-requisite: Managing negative impacts on ecology</t>
  </si>
  <si>
    <t>Ecological enhancement</t>
  </si>
  <si>
    <t>Calculation of change in biodiversity</t>
  </si>
  <si>
    <t>Pre-requisite: statutory obligations, planning and site implementation</t>
  </si>
  <si>
    <t>Management and maintenance throughout the project</t>
  </si>
  <si>
    <t>Landscape and ecology management plan</t>
  </si>
  <si>
    <t>Risk assessment</t>
  </si>
  <si>
    <t>Pre-requisite: Flood risk assessment</t>
  </si>
  <si>
    <t>Resilience against flood and storm surge</t>
  </si>
  <si>
    <t>Pre-requisite risk assessment and the "three- step strategy"</t>
  </si>
  <si>
    <t>Maximum run-off</t>
  </si>
  <si>
    <t>Measures for surface-based water management</t>
  </si>
  <si>
    <t>LE 06 Climate adaption</t>
  </si>
  <si>
    <t>LE 07 Flooding and storm surge</t>
  </si>
  <si>
    <t>LE 08 Local surface water handling</t>
  </si>
  <si>
    <t>a</t>
  </si>
  <si>
    <t>e</t>
  </si>
  <si>
    <t>d</t>
  </si>
  <si>
    <t>b</t>
  </si>
  <si>
    <t>c</t>
  </si>
  <si>
    <t>Inn 14</t>
  </si>
  <si>
    <t xml:space="preserve">Man 03: Reduction of direct emissions from construction sites </t>
  </si>
  <si>
    <t xml:space="preserve">Hea 02: Emissions from construction products  </t>
  </si>
  <si>
    <t xml:space="preserve">Ene 01: Post-occupancy stage </t>
  </si>
  <si>
    <t>Wat 01: Highly water efficient components</t>
  </si>
  <si>
    <t xml:space="preserve">Mat 01: 60% reduction of greenhouse gas emission </t>
  </si>
  <si>
    <t>Mat 06: FutureBuilt criteria set for circular buildings, point 2.3 reuse of building components</t>
  </si>
  <si>
    <t xml:space="preserve">Wst 01: Especially low amount of construction waste </t>
  </si>
  <si>
    <t>LE 02: Wider sustainability for the site</t>
  </si>
  <si>
    <t>LE 04: Significant net gain of biodiversity</t>
  </si>
  <si>
    <t>LE 06: Responding to climate change</t>
  </si>
  <si>
    <t>LE 08: Wider approach to surface water management</t>
  </si>
  <si>
    <t xml:space="preserve">Hea 01: View out, high level </t>
  </si>
  <si>
    <t xml:space="preserve">Ene 01: Plus house </t>
  </si>
  <si>
    <t>Man 01a</t>
  </si>
  <si>
    <t>Man 01b</t>
  </si>
  <si>
    <t>Man 01c</t>
  </si>
  <si>
    <t>Man 01d</t>
  </si>
  <si>
    <t>Man 01e</t>
  </si>
  <si>
    <t>Man 02a</t>
  </si>
  <si>
    <t>Man 02b</t>
  </si>
  <si>
    <t>Man 03a</t>
  </si>
  <si>
    <t>Man 03b</t>
  </si>
  <si>
    <t>Man 03c</t>
  </si>
  <si>
    <t>Man 03d</t>
  </si>
  <si>
    <t>Man 04a</t>
  </si>
  <si>
    <t>Man 04b</t>
  </si>
  <si>
    <t>Man 04c</t>
  </si>
  <si>
    <t>Man 05a</t>
  </si>
  <si>
    <t>Man 05b</t>
  </si>
  <si>
    <t>Man 05c</t>
  </si>
  <si>
    <t>Hea 01a</t>
  </si>
  <si>
    <t>Hea 01b</t>
  </si>
  <si>
    <t>Hea 01c</t>
  </si>
  <si>
    <t>Hea 01d</t>
  </si>
  <si>
    <t>Hea 01e</t>
  </si>
  <si>
    <t>Hea 02a</t>
  </si>
  <si>
    <t>Hea 02b</t>
  </si>
  <si>
    <t>Hea 02c</t>
  </si>
  <si>
    <t>Hea 02d</t>
  </si>
  <si>
    <t>Hea 03a</t>
  </si>
  <si>
    <t>Hea 03b</t>
  </si>
  <si>
    <t>Hea 03c</t>
  </si>
  <si>
    <t>Hea 05a</t>
  </si>
  <si>
    <t>Hea 05b</t>
  </si>
  <si>
    <t>Hea 06a</t>
  </si>
  <si>
    <t>Hea 06b</t>
  </si>
  <si>
    <t>Hea 08a</t>
  </si>
  <si>
    <t>Ene 01a</t>
  </si>
  <si>
    <t>Ene 01b</t>
  </si>
  <si>
    <t>Ene 01c</t>
  </si>
  <si>
    <t>Ene 01d</t>
  </si>
  <si>
    <t>Ene 01e</t>
  </si>
  <si>
    <t>Ene 02c</t>
  </si>
  <si>
    <t>Ene 03a</t>
  </si>
  <si>
    <t>Ene 03b</t>
  </si>
  <si>
    <t>Ene 05a</t>
  </si>
  <si>
    <t>Ene 05b</t>
  </si>
  <si>
    <t>Ene 06a</t>
  </si>
  <si>
    <t>Ene 06b</t>
  </si>
  <si>
    <t>Ene 07a</t>
  </si>
  <si>
    <t>Ene 07b</t>
  </si>
  <si>
    <t>Ene 08a</t>
  </si>
  <si>
    <t>Tra 01a</t>
  </si>
  <si>
    <t>Tra 01b</t>
  </si>
  <si>
    <t>Tra 02a</t>
  </si>
  <si>
    <t>Tra 02b</t>
  </si>
  <si>
    <t>Wat 01a</t>
  </si>
  <si>
    <t>Wat 02a</t>
  </si>
  <si>
    <t>Wat 03a</t>
  </si>
  <si>
    <t>Wat 03b</t>
  </si>
  <si>
    <t>Wat 03c</t>
  </si>
  <si>
    <t>Wat 04a</t>
  </si>
  <si>
    <t>Mat 01a</t>
  </si>
  <si>
    <t>Mat 01b</t>
  </si>
  <si>
    <t>Mat 01c</t>
  </si>
  <si>
    <t>Mat 02a</t>
  </si>
  <si>
    <t>Mat 02b</t>
  </si>
  <si>
    <t>Mat 02c</t>
  </si>
  <si>
    <t>Mat 03a</t>
  </si>
  <si>
    <t>Mat 03b</t>
  </si>
  <si>
    <t>Mat 03c</t>
  </si>
  <si>
    <t>Mat 05a</t>
  </si>
  <si>
    <t>Mat 05b</t>
  </si>
  <si>
    <t>Mat 05c</t>
  </si>
  <si>
    <t>Mat 05d</t>
  </si>
  <si>
    <t>Mat 06a</t>
  </si>
  <si>
    <t>Mat 06b</t>
  </si>
  <si>
    <t>Mat 06c</t>
  </si>
  <si>
    <t>Mat 07a</t>
  </si>
  <si>
    <t>Mat 07b</t>
  </si>
  <si>
    <t>Mat 07c</t>
  </si>
  <si>
    <t>Wst 01a</t>
  </si>
  <si>
    <t>Wst 01b</t>
  </si>
  <si>
    <t>Wst 01c</t>
  </si>
  <si>
    <t>Wst 03aa</t>
  </si>
  <si>
    <t>Wst 03ba</t>
  </si>
  <si>
    <t>Wst 04a</t>
  </si>
  <si>
    <t>Wst 03a Operational waste</t>
  </si>
  <si>
    <t>Wst 03b Operational waste</t>
  </si>
  <si>
    <t>LE 01a</t>
  </si>
  <si>
    <t>LE 02a</t>
  </si>
  <si>
    <t>LE 02b</t>
  </si>
  <si>
    <t>LE 02c</t>
  </si>
  <si>
    <t>LE 03a</t>
  </si>
  <si>
    <t>LE 03b</t>
  </si>
  <si>
    <t>LE 03c</t>
  </si>
  <si>
    <t>LE 04a</t>
  </si>
  <si>
    <t>LE 04b</t>
  </si>
  <si>
    <t>LE 04c</t>
  </si>
  <si>
    <t>LE 05a</t>
  </si>
  <si>
    <t>LE 05b</t>
  </si>
  <si>
    <t>LE 05c</t>
  </si>
  <si>
    <t>LE 06a</t>
  </si>
  <si>
    <t>LE 07a</t>
  </si>
  <si>
    <t>LE 07b</t>
  </si>
  <si>
    <t>LE 08a</t>
  </si>
  <si>
    <t>LE 08b</t>
  </si>
  <si>
    <t>LE 08c</t>
  </si>
  <si>
    <t>POL 01a</t>
  </si>
  <si>
    <t>POL 01b</t>
  </si>
  <si>
    <t>POL 01c</t>
  </si>
  <si>
    <t>POL 02a</t>
  </si>
  <si>
    <t>POL 02b</t>
  </si>
  <si>
    <t>POL 04a</t>
  </si>
  <si>
    <t>POL 04b</t>
  </si>
  <si>
    <t>POL 05a</t>
  </si>
  <si>
    <t>POL 05b</t>
  </si>
  <si>
    <t>Exemplary Level</t>
  </si>
  <si>
    <t>Contr. to score</t>
  </si>
  <si>
    <t>U</t>
  </si>
  <si>
    <t>O: Outstanding</t>
  </si>
  <si>
    <t>E: Excellent</t>
  </si>
  <si>
    <t>VG: Very Good</t>
  </si>
  <si>
    <t>Available credits in all</t>
  </si>
  <si>
    <t>Available credits for this project</t>
  </si>
  <si>
    <t>Project brief &amp; design:</t>
  </si>
  <si>
    <t>Life cycle cost and service life planning:</t>
  </si>
  <si>
    <t>Visual comfort:</t>
  </si>
  <si>
    <t>Indoor air quality:</t>
  </si>
  <si>
    <t>Thermal comfort:</t>
  </si>
  <si>
    <t>Thermal zoning and controls</t>
  </si>
  <si>
    <t>Safe and healthy environment:</t>
  </si>
  <si>
    <t>Inclusive design</t>
  </si>
  <si>
    <t>Biofilik design</t>
  </si>
  <si>
    <t>Building energy performance:</t>
  </si>
  <si>
    <t>Energy monitoring:</t>
  </si>
  <si>
    <t>Transport assessment and travel plan</t>
  </si>
  <si>
    <t>Sustainable transport measures</t>
  </si>
  <si>
    <t>Environmental impacts from construction products - LCA and greenhouse gas calculations</t>
  </si>
  <si>
    <t>Environmental impacts from construction products - EPDs</t>
  </si>
  <si>
    <t>Responsible sourcing of construction products</t>
  </si>
  <si>
    <t>Disassembly and adaptibility</t>
  </si>
  <si>
    <t>Disassembly and functional adaptability - implementation</t>
  </si>
  <si>
    <t>Ecological risks and opportunities</t>
  </si>
  <si>
    <t>LE03</t>
  </si>
  <si>
    <t>Managing impacts on ecology</t>
  </si>
  <si>
    <t>Ecological change and enhancement</t>
  </si>
  <si>
    <t>Climate adaption</t>
  </si>
  <si>
    <t>LE07</t>
  </si>
  <si>
    <t>Flooding and storm surge</t>
  </si>
  <si>
    <t>LE08</t>
  </si>
  <si>
    <t>Local surface water handling</t>
  </si>
  <si>
    <t>Local air quality</t>
  </si>
  <si>
    <t xml:space="preserve">Reduction of direct emissions from construction sites </t>
  </si>
  <si>
    <t>Hea01</t>
  </si>
  <si>
    <t xml:space="preserve">Daylighting, high level </t>
  </si>
  <si>
    <t xml:space="preserve">View out, high level </t>
  </si>
  <si>
    <t xml:space="preserve">Emissions from construction products  </t>
  </si>
  <si>
    <t xml:space="preserve">Post-occupancy stage </t>
  </si>
  <si>
    <t xml:space="preserve">Plus house </t>
  </si>
  <si>
    <t>Wat01</t>
  </si>
  <si>
    <t>Highly water efficient components</t>
  </si>
  <si>
    <t xml:space="preserve">60% reduction of greenhouse gas emission </t>
  </si>
  <si>
    <t>FutureBuilt criteria set for circular buildings, point 2.3 reuse of building components</t>
  </si>
  <si>
    <t xml:space="preserve">Especially low amount of construction waste </t>
  </si>
  <si>
    <t>LE02</t>
  </si>
  <si>
    <t>Wider sustainability for the site</t>
  </si>
  <si>
    <t>LE04</t>
  </si>
  <si>
    <t>Significant net gain of biodiversity</t>
  </si>
  <si>
    <t>LE06</t>
  </si>
  <si>
    <t>Responding to climate change</t>
  </si>
  <si>
    <t>Wider approach to surface water management</t>
  </si>
  <si>
    <t>ikke sum med makspoeng</t>
  </si>
  <si>
    <t>Min. std. Level</t>
  </si>
  <si>
    <t>Man Sum</t>
  </si>
  <si>
    <t>Hea sum</t>
  </si>
  <si>
    <t>Ene sum</t>
  </si>
  <si>
    <t>Tra sum</t>
  </si>
  <si>
    <t>Wat sum</t>
  </si>
  <si>
    <t>Mat sum</t>
  </si>
  <si>
    <t>Wst sum</t>
  </si>
  <si>
    <t>LE sum</t>
  </si>
  <si>
    <t>POL sum</t>
  </si>
  <si>
    <t>Inn sum</t>
  </si>
  <si>
    <t>Transport needs and usage patterns</t>
  </si>
  <si>
    <t xml:space="preserve">Kontrollplan og fuktmålinger </t>
  </si>
  <si>
    <t xml:space="preserve">Bygging under tildekking  </t>
  </si>
  <si>
    <t>Mat 05e</t>
  </si>
  <si>
    <t>Pol 01b</t>
  </si>
  <si>
    <t>POL 01d</t>
  </si>
  <si>
    <t>Forkrav: 2. Belastning fra kuldemedier</t>
  </si>
  <si>
    <t>No refrigerants in the building</t>
  </si>
  <si>
    <t>Leak detection</t>
  </si>
  <si>
    <t>Heating and hot water is supplied by non-combustions system</t>
  </si>
  <si>
    <t>Heating and hot water is supplied by combustions plant</t>
  </si>
  <si>
    <t>Reduction of night time light pollution</t>
  </si>
  <si>
    <t xml:space="preserve">No external lighting pollution </t>
  </si>
  <si>
    <t>Minimizing external light pollution</t>
  </si>
  <si>
    <t>No noise-sensitive areas</t>
  </si>
  <si>
    <t>Minimizing noise pollution in noise-sensitive areas</t>
  </si>
  <si>
    <t>POL 05 Reduction of noise pollution</t>
  </si>
  <si>
    <t>f</t>
  </si>
  <si>
    <t>Man 03e</t>
  </si>
  <si>
    <t>Man 03f</t>
  </si>
  <si>
    <t>Ansvarlig byggeledelse: RTB og sjekkliste A1</t>
  </si>
  <si>
    <t>Ansvarlig byggeledelse: INSTA 800 og sjekkliste A1</t>
  </si>
  <si>
    <t>Energiforbruk fra aktiviteter på byggeplassen (steg 2-4)</t>
  </si>
  <si>
    <t>Energiforbruk tilknyttet transport av masser og avfall  (steg 2-4)</t>
  </si>
  <si>
    <t>Energieffektive funksjoner heis</t>
  </si>
  <si>
    <t>Energieffektive funksjoner rulletrapp</t>
  </si>
  <si>
    <t>Ene 06c</t>
  </si>
  <si>
    <t>Flow control devices</t>
  </si>
  <si>
    <r>
      <rPr>
        <b/>
        <sz val="11"/>
        <color rgb="FFFFFFFF"/>
        <rFont val="Calibri"/>
        <family val="2"/>
      </rPr>
      <t>Pol 01:</t>
    </r>
    <r>
      <rPr>
        <sz val="11"/>
        <color indexed="9"/>
        <rFont val="Calibri"/>
        <family val="2"/>
      </rPr>
      <t xml:space="preserve"> Refrigerants in the building?</t>
    </r>
  </si>
  <si>
    <t>Non-combustions system</t>
  </si>
  <si>
    <t>Combustions plant</t>
  </si>
  <si>
    <r>
      <rPr>
        <b/>
        <sz val="11"/>
        <color rgb="FFFFFFFF"/>
        <rFont val="Calibri"/>
        <family val="2"/>
      </rPr>
      <t xml:space="preserve">Pol 05: </t>
    </r>
    <r>
      <rPr>
        <sz val="11"/>
        <color indexed="9"/>
        <rFont val="Calibri"/>
        <family val="2"/>
      </rPr>
      <t>Noise-sensitive areas?</t>
    </r>
  </si>
  <si>
    <r>
      <rPr>
        <b/>
        <sz val="11"/>
        <color rgb="FFFFFFFF"/>
        <rFont val="Calibri"/>
        <family val="2"/>
      </rPr>
      <t>Ene 05:</t>
    </r>
    <r>
      <rPr>
        <sz val="11"/>
        <color indexed="9"/>
        <rFont val="Calibri"/>
        <family val="2"/>
      </rPr>
      <t xml:space="preserve"> Commercial/industrial refrigeration and cold storage systems?</t>
    </r>
  </si>
  <si>
    <r>
      <rPr>
        <b/>
        <sz val="11"/>
        <color rgb="FFFFFFFF"/>
        <rFont val="Calibri"/>
        <family val="2"/>
      </rPr>
      <t>Ene 06:</t>
    </r>
    <r>
      <rPr>
        <sz val="11"/>
        <color indexed="9"/>
        <rFont val="Calibri"/>
        <family val="2"/>
      </rPr>
      <t xml:space="preserve"> Does the building contain  lifts, escalators or moving walks?</t>
    </r>
  </si>
  <si>
    <t xml:space="preserve">Inn 01 - Man 03: Reduction of direct emissions from construction sites </t>
  </si>
  <si>
    <t xml:space="preserve">Inn 02 - Hea 01: Daylighting, high level </t>
  </si>
  <si>
    <t xml:space="preserve">Inn 03 - Hea 01: View out, high level </t>
  </si>
  <si>
    <t xml:space="preserve">Inn 04 - Hea 02: Emissions from construction products  </t>
  </si>
  <si>
    <t xml:space="preserve">Inn 05 - Ene 01: Post-occupancy stage </t>
  </si>
  <si>
    <t xml:space="preserve">Inn 06 - Ene 01: Plus house </t>
  </si>
  <si>
    <t>Inn 07 - Wat 01: Highly water efficient components</t>
  </si>
  <si>
    <t xml:space="preserve">Inn 08 - Mat 01: 60% reduction of greenhouse gas emission </t>
  </si>
  <si>
    <t>Inn 09 - Mat 06: FutureBuilt criteria set for circular buildings, point 2.3 reuse of building components</t>
  </si>
  <si>
    <t xml:space="preserve">Inn 10 - Wst 01: Especially low amount of construction waste </t>
  </si>
  <si>
    <t>Inn 11 - LE 02: Wider sustainability for the site</t>
  </si>
  <si>
    <t>Inn 12 - LE 04: Significant net gain of biodiversity</t>
  </si>
  <si>
    <t>Inn 13 - LE 06: Responding to climate change</t>
  </si>
  <si>
    <t>Inn 14 - LE 08: Wider approach to surface water management</t>
  </si>
  <si>
    <t>Yes - lifts and escalators/moving walks</t>
  </si>
  <si>
    <t>Yes - escalators/moving walks</t>
  </si>
  <si>
    <t>Yes - lifts</t>
  </si>
  <si>
    <t>Ved 1 poeng, sjekk type</t>
  </si>
  <si>
    <t>hvis 1 poeng . Sjekk type</t>
  </si>
  <si>
    <t>sjekk type og rett poeng</t>
  </si>
  <si>
    <t>sjekk rett</t>
  </si>
  <si>
    <t>Ene07</t>
  </si>
  <si>
    <t>Mat05</t>
  </si>
  <si>
    <t>Wst03</t>
  </si>
  <si>
    <t>Wst 03</t>
  </si>
  <si>
    <t>Mat02</t>
  </si>
  <si>
    <t>Mat03</t>
  </si>
  <si>
    <t>Bespoke foreløpig - mulig utgå</t>
  </si>
  <si>
    <t>VALG BESPOKE</t>
  </si>
  <si>
    <t>BREEAM-NOR AP and BREEAM performance targets (stage 5 and 6)</t>
  </si>
  <si>
    <t>Pre-requisite: flicker reduction and  daylight calculations</t>
  </si>
  <si>
    <t>Hea 01f</t>
  </si>
  <si>
    <t>Mat 02 Environmental impacts from construction products - product requirements</t>
  </si>
  <si>
    <t>Mat 05 Designing for durability and climate adaption</t>
  </si>
  <si>
    <t>Wst 04 Speculative finishes</t>
  </si>
  <si>
    <t>5 mm precipitation</t>
  </si>
  <si>
    <t>LE 08d</t>
  </si>
  <si>
    <t>Non-combustion heating and hot water system</t>
  </si>
  <si>
    <t>Combustion-powered heating and hot water</t>
  </si>
  <si>
    <t>BREEAM-NOR v6.0 New Construction Pre-Assessment Estimator</t>
  </si>
  <si>
    <r>
      <rPr>
        <b/>
        <sz val="11"/>
        <color theme="1"/>
        <rFont val="Calibri"/>
        <family val="2"/>
        <scheme val="minor"/>
      </rPr>
      <t xml:space="preserve">Starting a pre-assessment </t>
    </r>
    <r>
      <rPr>
        <sz val="11"/>
        <color theme="1"/>
        <rFont val="Calibri"/>
        <family val="2"/>
        <scheme val="minor"/>
      </rPr>
      <t xml:space="preserve">
You have downloaded and opened the template version of the BREEAM-NOR v6.0 Pre-Assessment Estimator. The template version must always be used to start a new pre-assessment of a building. 
To begin a pre-assessment of a building you must first define a few characteristics of the building requiring pre-assessment in the Assessment Details worksheet. This information ensures the Pre-Assessment Estimator selects the correct number of BREEAM-NOR issues and credits for the building. </t>
    </r>
  </si>
  <si>
    <t>BREEAM-NOR v6.0 New Construction Pre-Assessment Estimator: Assessment Details</t>
  </si>
  <si>
    <t>Note: If you are starting a new pre-assessment please ensure you are using the latest template version of the BREEAM-NOR v6.0 Pre-Assessment Estimator and not a version used for an existing/previous pre-assessment.</t>
  </si>
  <si>
    <t>BREEAM-NOR v6.0 New Construction Pre-Assessment Estimator: Building Performance</t>
  </si>
  <si>
    <t>BREEAM-NOR v6.0 New Construction Pre-Assessment Estimator: Summary of Building Performance</t>
  </si>
  <si>
    <t>BREEAM-NOR v6.0 New Construction Pre-Assessment Estimator: Version Control</t>
  </si>
  <si>
    <t>Vekting</t>
  </si>
  <si>
    <t>Innredet</t>
  </si>
  <si>
    <t>Uinnredet</t>
  </si>
  <si>
    <t>Råbygg</t>
  </si>
  <si>
    <t>Valg</t>
  </si>
  <si>
    <t>Fully fitted</t>
  </si>
  <si>
    <t>Shell only</t>
  </si>
  <si>
    <t xml:space="preserve">Requirements for EU taxonomy </t>
  </si>
  <si>
    <t>EU Taksonomi</t>
  </si>
  <si>
    <t xml:space="preserve">Ingen vesentlig skade (DNSH) </t>
  </si>
  <si>
    <t>Bidra vesentlig til å redusere klimaendringer</t>
  </si>
  <si>
    <t>Samlet</t>
  </si>
  <si>
    <t>INITIAL</t>
  </si>
  <si>
    <t>DESIGN</t>
  </si>
  <si>
    <t>CONSTRUCTION</t>
  </si>
  <si>
    <t>Oppfyller taksonomi = nei</t>
  </si>
  <si>
    <t>Wst 01d</t>
  </si>
  <si>
    <t>LE 01b</t>
  </si>
  <si>
    <t>Minimum req: absence of environmental toxins</t>
  </si>
  <si>
    <t>Minimum req: legal and sustainable timber</t>
  </si>
  <si>
    <t>Pre-requisite: managing negative impacts on ecology</t>
  </si>
  <si>
    <t>Pre-requisite: flood risk assessment</t>
  </si>
  <si>
    <r>
      <t xml:space="preserve">Minimum req: waste sorting </t>
    </r>
    <r>
      <rPr>
        <b/>
        <sz val="11"/>
        <color theme="1"/>
        <rFont val="Calibri"/>
        <family val="2"/>
      </rPr>
      <t>≥</t>
    </r>
    <r>
      <rPr>
        <b/>
        <sz val="11"/>
        <color theme="1"/>
        <rFont val="Calibri"/>
        <family val="2"/>
        <scheme val="minor"/>
      </rPr>
      <t>75%</t>
    </r>
  </si>
  <si>
    <t>Minimum req: agricultural area / forest - criterion 2</t>
  </si>
  <si>
    <t>Pre-requisite: risk assessment and the "three- step strategy"</t>
  </si>
  <si>
    <t>Pre-requisite: transport assessment and travel plan</t>
  </si>
  <si>
    <t>Pre-requisite: impact of refrigerants</t>
  </si>
  <si>
    <t>Pre-requisite: Transport assessment and travel plan</t>
  </si>
  <si>
    <r>
      <rPr>
        <b/>
        <sz val="11"/>
        <color rgb="FFFFFFFF"/>
        <rFont val="Calibri"/>
        <family val="2"/>
      </rPr>
      <t xml:space="preserve">Mat 06: </t>
    </r>
    <r>
      <rPr>
        <sz val="11"/>
        <color indexed="9"/>
        <rFont val="Calibri"/>
        <family val="2"/>
      </rPr>
      <t>Demolition in the development area (mapping for component reuse)?</t>
    </r>
  </si>
  <si>
    <t xml:space="preserve">Hea 06: Biofilik design </t>
  </si>
  <si>
    <r>
      <t xml:space="preserve">Wat 04: </t>
    </r>
    <r>
      <rPr>
        <sz val="11"/>
        <color rgb="FFFFFFFF"/>
        <rFont val="Calibri"/>
        <family val="2"/>
      </rPr>
      <t>Water demand in building (beyond Wat 01)</t>
    </r>
    <r>
      <rPr>
        <b/>
        <sz val="11"/>
        <color rgb="FFFFFFFF"/>
        <rFont val="Calibri"/>
        <family val="2"/>
      </rPr>
      <t>?</t>
    </r>
  </si>
  <si>
    <t>Considerate contruction: clean and tidy building process and checklist A1</t>
  </si>
  <si>
    <t>Considerate contruction: INSTA 800 and checklist A1</t>
  </si>
  <si>
    <t>Energy consumption from activities on the construction site (step 2-4)</t>
  </si>
  <si>
    <t>Energy consumption from transport of masses and waste (step 2-4)</t>
  </si>
  <si>
    <t>Energy efficient features: lifts</t>
  </si>
  <si>
    <t>Energy efficient features: escalators or moving walks</t>
  </si>
  <si>
    <t>Control plan and moisture measurements</t>
  </si>
  <si>
    <t>Construction under cover</t>
  </si>
  <si>
    <t>To activate select YES in cell S8</t>
  </si>
  <si>
    <t>To activate select YES in cell Z8</t>
  </si>
  <si>
    <r>
      <rPr>
        <b/>
        <sz val="11"/>
        <color rgb="FFFFFFFF"/>
        <rFont val="Calibri"/>
        <family val="2"/>
      </rPr>
      <t>Ene 08: A</t>
    </r>
    <r>
      <rPr>
        <sz val="11"/>
        <color indexed="9"/>
        <rFont val="Calibri"/>
        <family val="2"/>
      </rPr>
      <t>ny unregulated energy loads in building?</t>
    </r>
  </si>
  <si>
    <t>Initial Release Version of BREEAM-NOR v0.6 New Construction Pre-Assessment Tool.</t>
  </si>
  <si>
    <t>Other</t>
  </si>
  <si>
    <t>Transportation hub (coach or bus station and above ground rail station)</t>
  </si>
  <si>
    <t>Research and development (category 2 or 3 laboratories - non-higher education)</t>
  </si>
  <si>
    <t>Crèche</t>
  </si>
  <si>
    <t>Fire stations</t>
  </si>
  <si>
    <t>Visitor centres</t>
  </si>
  <si>
    <r>
      <rPr>
        <b/>
        <sz val="11"/>
        <color rgb="FFFFFFFF"/>
        <rFont val="Calibri"/>
        <family val="2"/>
      </rPr>
      <t>Ene 03, Pol 04:</t>
    </r>
    <r>
      <rPr>
        <sz val="11"/>
        <color indexed="9"/>
        <rFont val="Calibri"/>
        <family val="2"/>
      </rPr>
      <t xml:space="preserve"> External lighting within the construction zone?</t>
    </r>
  </si>
  <si>
    <t>Synlig (1=ja)</t>
  </si>
  <si>
    <r>
      <t>Ene 01 exemplary level:</t>
    </r>
    <r>
      <rPr>
        <sz val="11"/>
        <color rgb="FFFFFFFF"/>
        <rFont val="Calibri"/>
        <family val="2"/>
      </rPr>
      <t xml:space="preserve"> Is Ene 01 exemplary level Post-occupancy stage relevant?</t>
    </r>
  </si>
  <si>
    <r>
      <rPr>
        <b/>
        <sz val="11"/>
        <color indexed="9"/>
        <rFont val="Calibri"/>
        <family val="2"/>
      </rPr>
      <t xml:space="preserve">Pol 05: </t>
    </r>
    <r>
      <rPr>
        <sz val="11"/>
        <color indexed="9"/>
        <rFont val="Calibri"/>
        <family val="2"/>
      </rPr>
      <t>Does the building have a need for heating, ventilation or air conditioning?</t>
    </r>
  </si>
  <si>
    <r>
      <rPr>
        <b/>
        <sz val="11"/>
        <color indexed="9"/>
        <rFont val="Calibri"/>
        <family val="2"/>
      </rPr>
      <t xml:space="preserve">Hea 02, Hea 03: </t>
    </r>
    <r>
      <rPr>
        <sz val="11"/>
        <color indexed="9"/>
        <rFont val="Calibri"/>
        <family val="2"/>
      </rPr>
      <t>Does this industrial building have an office area?</t>
    </r>
  </si>
  <si>
    <t>BREEAM-NOR v6.0 Issue</t>
  </si>
  <si>
    <t>BREEAM-NOR v6.0</t>
  </si>
  <si>
    <t>Mat 07 Design for disassembly and adaptability</t>
  </si>
  <si>
    <t>Resource inventory</t>
  </si>
  <si>
    <t>1.0</t>
  </si>
  <si>
    <r>
      <rPr>
        <b/>
        <sz val="11"/>
        <color theme="1"/>
        <rFont val="Calibri"/>
        <family val="2"/>
        <scheme val="minor"/>
      </rPr>
      <t xml:space="preserve">Disclaimer </t>
    </r>
    <r>
      <rPr>
        <sz val="11"/>
        <color theme="1"/>
        <rFont val="Calibri"/>
        <family val="2"/>
        <scheme val="minor"/>
      </rPr>
      <t xml:space="preserve">
Thank you for downloading and using the BREEAM-NOR Versjon 6.0. New Construction Pre-Assessment Estimator. 
If you are using the Pre-Assessment Estimator for the first time please take a few moments to read the following: 
The Pre-Assessment Estimator is the property of Grønn Byggallianse (NGBC) and BRE Global Ltd and is made publicly available for information purposes only. Its use for testing, assessment, certification or approval is not permitted. The results presented are indicative only of a building's potential performance and are based on a simplified, informal assessment and unverified commitments. The results do not represent a formal certified BREEAM-NOR assessment or rating and must not be communicated or presented as a BREEAM-NOR rating. NGBC/BRE Group Ltd. accepts no responsibility for any actions taken as a result of information presented or interpreted by the BREEAM-NOR Pre-Assessment Estimator. </t>
    </r>
  </si>
  <si>
    <r>
      <rPr>
        <b/>
        <sz val="11"/>
        <color theme="1"/>
        <rFont val="Calibri"/>
        <family val="2"/>
        <scheme val="minor"/>
      </rPr>
      <t xml:space="preserve">Completing a pre-assessment </t>
    </r>
    <r>
      <rPr>
        <sz val="11"/>
        <color theme="1"/>
        <rFont val="Calibri"/>
        <family val="2"/>
        <scheme val="minor"/>
      </rPr>
      <t xml:space="preserve">
These questions are arranged by assessment issue. The number of indicative BREEAM-NOR credits achieved and overall performance will depend on your response to each question. In most cases, questions are answered by entering the number of BREEAM-NOR credits you wish to award. 
Before proceeding with the pre-assessment it is recommended that you save a copy of the Pre-Assessment Estimator using the building name and date as a filename, for example: BREEAM-NOR v6.0 Pre-Assessment Estimator_v1.0 - Office HQ 1/11/16.</t>
    </r>
  </si>
  <si>
    <t>Developed for Grønn Byggallianse (Norwegian Green Building Council) by Asplan Viak</t>
  </si>
  <si>
    <t>,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t>
  </si>
  <si>
    <t>This Pre-Assessment Estimator is the property of NGBC and BRE Group Ltd.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BREEAM-NOR assessment or rating and must not be communicated as such. NGBC/BRE Group Ltd. accepts no responsibility for any actions taken as a result of information presented or interpreted by the BREEAM-NOR Pre-Assessment Estimator. To carry out a formal BREEAM-NOR assessment contact a licensed BREEAM-NOR Assessor organisation. A list of licensed BREEAM-NOR Assessors is available from the www.byggalliansen.no and Green Book Live website: www.greenbooklive.com</t>
  </si>
  <si>
    <r>
      <rPr>
        <b/>
        <sz val="11"/>
        <color rgb="FFFFFFFF"/>
        <rFont val="Calibri"/>
        <family val="2"/>
      </rPr>
      <t>Ene 07:</t>
    </r>
    <r>
      <rPr>
        <sz val="11"/>
        <color indexed="9"/>
        <rFont val="Calibri"/>
        <family val="2"/>
      </rPr>
      <t xml:space="preserve"> Laboratory function/area and size cate</t>
    </r>
    <r>
      <rPr>
        <sz val="11"/>
        <color rgb="FFFFFFFF"/>
        <rFont val="Calibri"/>
        <family val="2"/>
      </rPr>
      <t>gory:</t>
    </r>
  </si>
  <si>
    <r>
      <rPr>
        <b/>
        <sz val="11"/>
        <color rgb="FFFFFFFF"/>
        <rFont val="Calibri"/>
        <family val="2"/>
      </rPr>
      <t xml:space="preserve">Pol 02: </t>
    </r>
    <r>
      <rPr>
        <sz val="11"/>
        <color indexed="9"/>
        <rFont val="Calibri"/>
        <family val="2"/>
      </rPr>
      <t>Heating and hot water is supplied by:</t>
    </r>
  </si>
  <si>
    <t>Pre-requisite: statutory obligations fulfilled</t>
  </si>
  <si>
    <t>Ene 01Tx</t>
  </si>
  <si>
    <t>Wat 01Tx</t>
  </si>
  <si>
    <t>Wst 01TX</t>
  </si>
  <si>
    <t>Wst 01Tx</t>
  </si>
  <si>
    <t>EU taxonomy requirement: criterion 10</t>
  </si>
  <si>
    <t>EU taxonomy requirements: criterion 1-3</t>
  </si>
  <si>
    <t>EU taxonomy requirement: criterion 1</t>
  </si>
  <si>
    <t>Mat 06d</t>
  </si>
  <si>
    <t>Minimum req: mapping for component reuse  - criterion 1</t>
  </si>
  <si>
    <t>1.1</t>
  </si>
  <si>
    <r>
      <rPr>
        <b/>
        <sz val="11"/>
        <color rgb="FF000000"/>
        <rFont val="Calibri"/>
        <family val="2"/>
      </rPr>
      <t>Wat 01, Wst 01, Ene 01</t>
    </r>
    <r>
      <rPr>
        <sz val="11"/>
        <color indexed="8"/>
        <rFont val="Calibri"/>
        <family val="2"/>
      </rPr>
      <t xml:space="preserve">: EU taxonomy requirement added
</t>
    </r>
    <r>
      <rPr>
        <b/>
        <sz val="11"/>
        <color rgb="FF000000"/>
        <rFont val="Calibri"/>
        <family val="2"/>
      </rPr>
      <t xml:space="preserve">Mat 06: </t>
    </r>
    <r>
      <rPr>
        <sz val="11"/>
        <color indexed="8"/>
        <rFont val="Calibri"/>
        <family val="2"/>
      </rPr>
      <t xml:space="preserve">Added minimum req: mapping for component reuse  - criterion 1
</t>
    </r>
    <r>
      <rPr>
        <b/>
        <sz val="11"/>
        <color rgb="FF000000"/>
        <rFont val="Calibri"/>
        <family val="2"/>
      </rPr>
      <t>Wat 01:</t>
    </r>
    <r>
      <rPr>
        <sz val="11"/>
        <color indexed="8"/>
        <rFont val="Calibri"/>
        <family val="2"/>
      </rPr>
      <t xml:space="preserve"> Updated Minimum requirements
</t>
    </r>
    <r>
      <rPr>
        <b/>
        <sz val="11"/>
        <color rgb="FF000000"/>
        <rFont val="Calibri"/>
        <family val="2"/>
      </rPr>
      <t>LE 01:</t>
    </r>
    <r>
      <rPr>
        <sz val="11"/>
        <color indexed="8"/>
        <rFont val="Calibri"/>
        <family val="2"/>
      </rPr>
      <t xml:space="preserve"> Updated Minimum requirements 
</t>
    </r>
    <r>
      <rPr>
        <b/>
        <sz val="11"/>
        <color rgb="FF000000"/>
        <rFont val="Calibri"/>
        <family val="2"/>
      </rPr>
      <t>Hea 02:</t>
    </r>
    <r>
      <rPr>
        <sz val="11"/>
        <color indexed="8"/>
        <rFont val="Calibri"/>
        <family val="2"/>
      </rPr>
      <t xml:space="preserve"> Updated pre-requisite for industrial building without office
</t>
    </r>
    <r>
      <rPr>
        <b/>
        <sz val="11"/>
        <color rgb="FF000000"/>
        <rFont val="Calibri"/>
        <family val="2"/>
      </rPr>
      <t xml:space="preserve">Pol 05: </t>
    </r>
    <r>
      <rPr>
        <sz val="11"/>
        <color indexed="8"/>
        <rFont val="Calibri"/>
        <family val="2"/>
      </rPr>
      <t>Updated building categories</t>
    </r>
  </si>
  <si>
    <t>1.2</t>
  </si>
  <si>
    <r>
      <rPr>
        <b/>
        <sz val="11"/>
        <color rgb="FF000000"/>
        <rFont val="Calibri"/>
        <family val="2"/>
      </rPr>
      <t xml:space="preserve">Le 01: </t>
    </r>
    <r>
      <rPr>
        <sz val="11"/>
        <color rgb="FF000000"/>
        <rFont val="Calibri"/>
        <family val="2"/>
      </rPr>
      <t xml:space="preserve">Fixed Minimum req: agricultural area / forest - criterion 2 for EU taxonomy
</t>
    </r>
    <r>
      <rPr>
        <b/>
        <sz val="11"/>
        <color rgb="FF000000"/>
        <rFont val="Calibri"/>
        <family val="2"/>
      </rPr>
      <t>Mat 06:</t>
    </r>
    <r>
      <rPr>
        <sz val="11"/>
        <color rgb="FF000000"/>
        <rFont val="Calibri"/>
        <family val="2"/>
      </rPr>
      <t xml:space="preserve"> If no Demolition in the development area (mapping for component reuse): criteria is filtered out of the assessment.
</t>
    </r>
    <r>
      <rPr>
        <b/>
        <sz val="11"/>
        <color rgb="FF000000"/>
        <rFont val="Calibri"/>
        <family val="2"/>
      </rPr>
      <t>Man 03:</t>
    </r>
    <r>
      <rPr>
        <sz val="11"/>
        <color rgb="FF000000"/>
        <rFont val="Calibri"/>
        <family val="2"/>
      </rPr>
      <t xml:space="preserve"> Added Considerate contruction: INSTA 800 and checklist A1 for EU taxonomy.
</t>
    </r>
    <r>
      <rPr>
        <b/>
        <sz val="11"/>
        <color rgb="FF000000"/>
        <rFont val="Calibri"/>
        <family val="2"/>
      </rPr>
      <t>Hea 02</t>
    </r>
    <r>
      <rPr>
        <sz val="11"/>
        <color rgb="FF000000"/>
        <rFont val="Calibri"/>
        <family val="2"/>
      </rPr>
      <t xml:space="preserve">: - Requirement: The project must have achieved credits in </t>
    </r>
    <r>
      <rPr>
        <b/>
        <sz val="11"/>
        <color rgb="FF000000"/>
        <rFont val="Calibri"/>
        <family val="2"/>
      </rPr>
      <t xml:space="preserve">Mat 05 </t>
    </r>
    <r>
      <rPr>
        <sz val="11"/>
        <color rgb="FF000000"/>
        <rFont val="Calibri"/>
        <family val="2"/>
      </rPr>
      <t xml:space="preserve">criteria 6–8
</t>
    </r>
    <r>
      <rPr>
        <b/>
        <sz val="11"/>
        <color rgb="FF000000"/>
        <rFont val="Calibri"/>
        <family val="2"/>
      </rPr>
      <t xml:space="preserve">Ene 07: </t>
    </r>
    <r>
      <rPr>
        <sz val="11"/>
        <color rgb="FF000000"/>
        <rFont val="Calibri"/>
        <family val="2"/>
      </rPr>
      <t>Fixed This issue is not applicable to school buildings (primary and secondary level).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</si>
</sst>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F800]dddd\,\ mmmm\ dd\,\ yyyy"/>
    <numFmt numFmtId="166" formatCode="0.0"/>
  </numFmts>
  <fonts count="115" x14ac:knownFonts="1">
    <font>
      <sz val="11"/>
      <color theme="1"/>
      <name val="Calibri"/>
      <family val="2"/>
      <scheme val="minor"/>
    </font>
    <font>
      <sz val="11"/>
      <color indexed="8"/>
      <name val="Calibri"/>
      <family val="2"/>
    </font>
    <font>
      <sz val="10"/>
      <name val="Arial"/>
      <family val="2"/>
    </font>
    <font>
      <sz val="9"/>
      <color indexed="8"/>
      <name val="Calibri"/>
      <family val="2"/>
    </font>
    <font>
      <sz val="12"/>
      <color indexed="8"/>
      <name val="Calibri"/>
      <family val="2"/>
    </font>
    <font>
      <sz val="12"/>
      <name val="Calibri"/>
      <family val="2"/>
    </font>
    <font>
      <sz val="11"/>
      <color indexed="8"/>
      <name val="Calibri"/>
      <family val="2"/>
    </font>
    <font>
      <sz val="11"/>
      <color indexed="9"/>
      <name val="Calibri"/>
      <family val="2"/>
    </font>
    <font>
      <b/>
      <sz val="11"/>
      <color indexed="9"/>
      <name val="Calibri"/>
      <family val="2"/>
    </font>
    <font>
      <sz val="11"/>
      <name val="Calibri"/>
      <family val="2"/>
    </font>
    <font>
      <b/>
      <sz val="12"/>
      <color indexed="8"/>
      <name val="Calibri"/>
      <family val="2"/>
    </font>
    <font>
      <sz val="12"/>
      <color indexed="8"/>
      <name val="Calibri"/>
      <family val="2"/>
    </font>
    <font>
      <sz val="11"/>
      <color indexed="57"/>
      <name val="Calibri"/>
      <family val="2"/>
    </font>
    <font>
      <i/>
      <sz val="11"/>
      <color indexed="23"/>
      <name val="Calibri"/>
      <family val="2"/>
    </font>
    <font>
      <b/>
      <sz val="11"/>
      <color indexed="10"/>
      <name val="Calibri"/>
      <family val="2"/>
    </font>
    <font>
      <sz val="9"/>
      <color indexed="8"/>
      <name val="Calibri"/>
      <family val="2"/>
    </font>
    <font>
      <sz val="12"/>
      <color indexed="9"/>
      <name val="Calibri"/>
      <family val="2"/>
    </font>
    <font>
      <sz val="12"/>
      <name val="Calibri"/>
      <family val="2"/>
    </font>
    <font>
      <i/>
      <sz val="12"/>
      <name val="Calibri"/>
      <family val="2"/>
    </font>
    <font>
      <b/>
      <sz val="14"/>
      <color indexed="9"/>
      <name val="Calibri"/>
      <family val="2"/>
    </font>
    <font>
      <sz val="16"/>
      <color indexed="9"/>
      <name val="Calibri"/>
      <family val="2"/>
    </font>
    <font>
      <b/>
      <sz val="16"/>
      <color indexed="9"/>
      <name val="Calibri"/>
      <family val="2"/>
    </font>
    <font>
      <sz val="8"/>
      <name val="Calibri"/>
      <family val="2"/>
    </font>
    <font>
      <sz val="11"/>
      <color theme="0"/>
      <name val="Calibri"/>
      <family val="2"/>
      <scheme val="minor"/>
    </font>
    <font>
      <sz val="11"/>
      <color rgb="FFFF0000"/>
      <name val="Calibri"/>
      <family val="2"/>
      <scheme val="minor"/>
    </font>
    <font>
      <b/>
      <sz val="14"/>
      <color rgb="FF3D6864"/>
      <name val="Calibri"/>
      <family val="2"/>
      <scheme val="minor"/>
    </font>
    <font>
      <sz val="11"/>
      <name val="Calibri"/>
      <family val="2"/>
      <scheme val="minor"/>
    </font>
    <font>
      <sz val="11"/>
      <color rgb="FFFF0000"/>
      <name val="Calibri"/>
      <family val="2"/>
    </font>
    <font>
      <b/>
      <sz val="14"/>
      <color theme="0"/>
      <name val="Calibri"/>
      <family val="2"/>
      <scheme val="minor"/>
    </font>
    <font>
      <sz val="11"/>
      <color rgb="FF406564"/>
      <name val="Calibri"/>
      <family val="2"/>
      <scheme val="minor"/>
    </font>
    <font>
      <b/>
      <sz val="12"/>
      <color theme="0"/>
      <name val="Calibri"/>
      <family val="2"/>
    </font>
    <font>
      <b/>
      <sz val="16"/>
      <color theme="0"/>
      <name val="Calibri"/>
      <family val="2"/>
      <scheme val="minor"/>
    </font>
    <font>
      <b/>
      <sz val="11"/>
      <color theme="1"/>
      <name val="Calibri"/>
      <family val="2"/>
      <scheme val="minor"/>
    </font>
    <font>
      <i/>
      <sz val="11"/>
      <name val="Calibri"/>
      <family val="2"/>
    </font>
    <font>
      <vertAlign val="superscript"/>
      <sz val="11"/>
      <color indexed="9"/>
      <name val="Calibri"/>
      <family val="2"/>
    </font>
    <font>
      <sz val="11"/>
      <color theme="1"/>
      <name val="Calibri"/>
      <family val="2"/>
    </font>
    <font>
      <b/>
      <sz val="14"/>
      <color rgb="FF406564"/>
      <name val="Calibri"/>
      <family val="2"/>
      <scheme val="minor"/>
    </font>
    <font>
      <b/>
      <sz val="11"/>
      <name val="Calibri"/>
      <family val="2"/>
      <scheme val="minor"/>
    </font>
    <font>
      <i/>
      <sz val="11"/>
      <color theme="1" tint="0.499984740745262"/>
      <name val="Calibri"/>
      <family val="2"/>
      <scheme val="minor"/>
    </font>
    <font>
      <b/>
      <sz val="11"/>
      <color theme="0"/>
      <name val="Calibri"/>
      <family val="2"/>
    </font>
    <font>
      <i/>
      <sz val="11"/>
      <color indexed="9"/>
      <name val="Calibri"/>
      <family val="2"/>
    </font>
    <font>
      <b/>
      <sz val="11"/>
      <color rgb="FF406564"/>
      <name val="Calibri"/>
      <family val="2"/>
      <scheme val="minor"/>
    </font>
    <font>
      <i/>
      <sz val="11"/>
      <color theme="1"/>
      <name val="Calibri"/>
      <family val="2"/>
      <scheme val="minor"/>
    </font>
    <font>
      <i/>
      <sz val="11"/>
      <color rgb="FFFF0000"/>
      <name val="Calibri"/>
      <family val="2"/>
    </font>
    <font>
      <sz val="18"/>
      <color rgb="FF406564"/>
      <name val="Calibri"/>
      <family val="2"/>
      <scheme val="minor"/>
    </font>
    <font>
      <i/>
      <sz val="11"/>
      <color theme="1"/>
      <name val="Calibri"/>
      <family val="2"/>
    </font>
    <font>
      <b/>
      <sz val="11"/>
      <color rgb="FFFF0000"/>
      <name val="Calibri"/>
      <family val="2"/>
      <scheme val="minor"/>
    </font>
    <font>
      <b/>
      <sz val="12"/>
      <color rgb="FFFF0000"/>
      <name val="Calibri"/>
      <family val="2"/>
    </font>
    <font>
      <sz val="20"/>
      <color rgb="FFFF0000"/>
      <name val="Calibri"/>
      <family val="2"/>
      <scheme val="minor"/>
    </font>
    <font>
      <sz val="18"/>
      <color rgb="FFFF0000"/>
      <name val="Calibri"/>
      <family val="2"/>
      <scheme val="minor"/>
    </font>
    <font>
      <sz val="8"/>
      <color theme="1"/>
      <name val="Calibri"/>
      <family val="2"/>
      <scheme val="minor"/>
    </font>
    <font>
      <b/>
      <sz val="8"/>
      <color theme="1"/>
      <name val="Calibri"/>
      <family val="2"/>
      <scheme val="minor"/>
    </font>
    <font>
      <sz val="8"/>
      <name val="Calibri"/>
      <family val="2"/>
      <scheme val="minor"/>
    </font>
    <font>
      <sz val="10"/>
      <color rgb="FF006100"/>
      <name val="Calibri Light"/>
      <family val="2"/>
    </font>
    <font>
      <sz val="9"/>
      <color theme="1"/>
      <name val="Calibri"/>
      <family val="2"/>
      <scheme val="minor"/>
    </font>
    <font>
      <b/>
      <sz val="9"/>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b/>
      <sz val="14"/>
      <color indexed="9"/>
      <name val="Calibri"/>
      <family val="2"/>
    </font>
    <font>
      <sz val="11"/>
      <color indexed="9"/>
      <name val="Calibri"/>
      <family val="2"/>
    </font>
    <font>
      <b/>
      <sz val="11"/>
      <color indexed="10"/>
      <name val="Calibri"/>
      <family val="2"/>
    </font>
    <font>
      <b/>
      <sz val="11"/>
      <color rgb="FFFF0000"/>
      <name val="Calibri"/>
      <family val="2"/>
      <scheme val="minor"/>
    </font>
    <font>
      <b/>
      <sz val="14"/>
      <color rgb="FF3D6864"/>
      <name val="Calibri"/>
      <family val="2"/>
      <scheme val="minor"/>
    </font>
    <font>
      <b/>
      <sz val="12"/>
      <color indexed="8"/>
      <name val="Calibri"/>
      <family val="2"/>
    </font>
    <font>
      <sz val="12"/>
      <color indexed="8"/>
      <name val="Calibri"/>
      <family val="2"/>
    </font>
    <font>
      <b/>
      <sz val="12"/>
      <color indexed="9"/>
      <name val="Calibri"/>
      <family val="2"/>
    </font>
    <font>
      <sz val="12"/>
      <color indexed="9"/>
      <name val="Calibri"/>
      <family val="2"/>
    </font>
    <font>
      <sz val="12"/>
      <color rgb="FF3D6864"/>
      <name val="Calibri"/>
      <family val="2"/>
    </font>
    <font>
      <sz val="11"/>
      <color rgb="FF3D6864"/>
      <name val="Calibri"/>
      <family val="2"/>
      <scheme val="minor"/>
    </font>
    <font>
      <sz val="12"/>
      <color theme="1"/>
      <name val="Calibri"/>
      <family val="2"/>
      <scheme val="minor"/>
    </font>
    <font>
      <sz val="12"/>
      <name val="Calibri"/>
      <family val="2"/>
    </font>
    <font>
      <b/>
      <sz val="12"/>
      <color rgb="FF3D6864"/>
      <name val="Calibri"/>
      <family val="2"/>
    </font>
    <font>
      <sz val="12"/>
      <color rgb="FF406564"/>
      <name val="Calibri"/>
      <family val="2"/>
    </font>
    <font>
      <sz val="11"/>
      <name val="Calibri"/>
      <family val="2"/>
      <scheme val="minor"/>
    </font>
    <font>
      <sz val="11"/>
      <color indexed="57"/>
      <name val="Calibri"/>
      <family val="2"/>
    </font>
    <font>
      <sz val="11"/>
      <color theme="1"/>
      <name val="Calibri"/>
      <family val="2"/>
    </font>
    <font>
      <sz val="12"/>
      <color theme="1"/>
      <name val="Calibri"/>
      <family val="2"/>
    </font>
    <font>
      <sz val="9"/>
      <color indexed="8"/>
      <name val="Calibri"/>
      <family val="2"/>
    </font>
    <font>
      <sz val="9"/>
      <color theme="1"/>
      <name val="Calibri"/>
      <family val="2"/>
    </font>
    <font>
      <sz val="8"/>
      <color indexed="8"/>
      <name val="Calibri"/>
      <family val="2"/>
    </font>
    <font>
      <sz val="11"/>
      <color rgb="FF406564"/>
      <name val="Calibri"/>
      <family val="2"/>
      <scheme val="minor"/>
    </font>
    <font>
      <sz val="11"/>
      <color rgb="FFFF0000"/>
      <name val="Calibri"/>
      <family val="2"/>
    </font>
    <font>
      <b/>
      <sz val="14"/>
      <color theme="0"/>
      <name val="Calibri"/>
      <family val="2"/>
    </font>
    <font>
      <sz val="9"/>
      <color indexed="81"/>
      <name val="Tahoma"/>
      <family val="2"/>
    </font>
    <font>
      <sz val="11"/>
      <color theme="1"/>
      <name val="Calibri"/>
      <family val="2"/>
      <scheme val="minor"/>
    </font>
    <font>
      <b/>
      <sz val="16"/>
      <color theme="0"/>
      <name val="Calibri"/>
      <family val="2"/>
      <scheme val="minor"/>
    </font>
    <font>
      <sz val="11"/>
      <name val="Calibri"/>
      <family val="2"/>
    </font>
    <font>
      <b/>
      <sz val="11"/>
      <color rgb="FFFF0000"/>
      <name val="Calibri"/>
      <family val="2"/>
      <scheme val="minor"/>
    </font>
    <font>
      <b/>
      <sz val="11"/>
      <color theme="1"/>
      <name val="Calibri"/>
      <family val="2"/>
      <scheme val="minor"/>
    </font>
    <font>
      <b/>
      <sz val="16"/>
      <color theme="0"/>
      <name val="Calibri"/>
      <family val="2"/>
    </font>
    <font>
      <b/>
      <sz val="11"/>
      <color theme="0"/>
      <name val="Calibri"/>
      <family val="2"/>
      <scheme val="minor"/>
    </font>
    <font>
      <sz val="18"/>
      <color theme="0"/>
      <name val="Calibri"/>
      <family val="2"/>
      <scheme val="minor"/>
    </font>
    <font>
      <sz val="9"/>
      <name val="Calibri"/>
      <family val="2"/>
      <scheme val="minor"/>
    </font>
    <font>
      <sz val="12"/>
      <color rgb="FFFF0000"/>
      <name val="Calibri"/>
      <family val="2"/>
    </font>
    <font>
      <sz val="11"/>
      <color rgb="FF00B050"/>
      <name val="Calibri"/>
      <family val="2"/>
      <scheme val="minor"/>
    </font>
    <font>
      <sz val="11"/>
      <color rgb="FFFFFFFF"/>
      <name val="Calibri"/>
      <family val="2"/>
    </font>
    <font>
      <sz val="14"/>
      <color theme="0"/>
      <name val="Calibri"/>
      <family val="2"/>
      <scheme val="minor"/>
    </font>
    <font>
      <sz val="8"/>
      <color theme="0" tint="-0.34998626667073579"/>
      <name val="Calibri"/>
      <family val="2"/>
      <scheme val="minor"/>
    </font>
    <font>
      <b/>
      <sz val="8"/>
      <color theme="0" tint="-0.34998626667073579"/>
      <name val="Calibri"/>
      <family val="2"/>
      <scheme val="minor"/>
    </font>
    <font>
      <sz val="10"/>
      <color theme="0" tint="-0.34998626667073579"/>
      <name val="Calibri Light"/>
      <family val="2"/>
    </font>
    <font>
      <b/>
      <sz val="10"/>
      <color rgb="FF006100"/>
      <name val="Calibri Light"/>
      <family val="2"/>
    </font>
    <font>
      <b/>
      <sz val="10"/>
      <color rgb="FFFF0000"/>
      <name val="Calibri Light"/>
      <family val="2"/>
    </font>
    <font>
      <b/>
      <sz val="8"/>
      <name val="Calibri"/>
      <family val="2"/>
      <scheme val="minor"/>
    </font>
    <font>
      <sz val="11"/>
      <color theme="0" tint="-0.14999847407452621"/>
      <name val="Calibri"/>
      <family val="2"/>
      <scheme val="minor"/>
    </font>
    <font>
      <b/>
      <sz val="11"/>
      <color theme="0" tint="-0.14999847407452621"/>
      <name val="Calibri"/>
      <family val="2"/>
      <scheme val="minor"/>
    </font>
    <font>
      <b/>
      <sz val="9"/>
      <color indexed="81"/>
      <name val="Tahoma"/>
      <family val="2"/>
    </font>
    <font>
      <b/>
      <sz val="11"/>
      <color rgb="FFFFFFFF"/>
      <name val="Calibri"/>
      <family val="2"/>
    </font>
    <font>
      <b/>
      <sz val="14"/>
      <color rgb="FFFF0000"/>
      <name val="Calibri"/>
      <family val="2"/>
    </font>
    <font>
      <sz val="9"/>
      <color rgb="FF00B050"/>
      <name val="Calibri"/>
      <family val="2"/>
      <scheme val="minor"/>
    </font>
    <font>
      <b/>
      <sz val="9"/>
      <color rgb="FF00B050"/>
      <name val="Calibri"/>
      <family val="2"/>
      <scheme val="minor"/>
    </font>
    <font>
      <sz val="11"/>
      <color rgb="FF56B146"/>
      <name val="Calibri"/>
      <family val="2"/>
      <scheme val="minor"/>
    </font>
    <font>
      <b/>
      <sz val="11"/>
      <color theme="1"/>
      <name val="Calibri"/>
      <family val="2"/>
    </font>
    <font>
      <b/>
      <sz val="11"/>
      <color rgb="FF000000"/>
      <name val="Calibri"/>
      <family val="2"/>
    </font>
    <font>
      <sz val="11"/>
      <color rgb="FF000000"/>
      <name val="Calibri"/>
      <family val="2"/>
    </font>
  </fonts>
  <fills count="25">
    <fill>
      <patternFill patternType="none"/>
    </fill>
    <fill>
      <patternFill patternType="gray125"/>
    </fill>
    <fill>
      <patternFill patternType="solid">
        <fgColor indexed="9"/>
        <bgColor indexed="64"/>
      </patternFill>
    </fill>
    <fill>
      <patternFill patternType="solid">
        <fgColor rgb="FF3D6864"/>
        <bgColor indexed="64"/>
      </patternFill>
    </fill>
    <fill>
      <patternFill patternType="solid">
        <fgColor theme="0"/>
        <bgColor indexed="64"/>
      </patternFill>
    </fill>
    <fill>
      <patternFill patternType="solid">
        <fgColor theme="0" tint="-0.14999847407452621"/>
        <bgColor indexed="64"/>
      </patternFill>
    </fill>
    <fill>
      <patternFill patternType="solid">
        <fgColor rgb="FF406564"/>
        <bgColor indexed="64"/>
      </patternFill>
    </fill>
    <fill>
      <patternFill patternType="solid">
        <fgColor rgb="FFFFC000"/>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56B146"/>
        <bgColor indexed="64"/>
      </patternFill>
    </fill>
    <fill>
      <patternFill patternType="solid">
        <fgColor rgb="FFFFD146"/>
        <bgColor indexed="64"/>
      </patternFill>
    </fill>
    <fill>
      <patternFill patternType="solid">
        <fgColor rgb="FFF16161"/>
        <bgColor indexed="64"/>
      </patternFill>
    </fill>
    <fill>
      <patternFill patternType="solid">
        <fgColor rgb="FFC6EFCE"/>
      </patternFill>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s>
  <borders count="1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right style="thin">
        <color theme="0"/>
      </right>
      <top/>
      <bottom style="thin">
        <color theme="0"/>
      </bottom>
      <diagonal/>
    </border>
    <border>
      <left/>
      <right style="medium">
        <color rgb="FF3D6864"/>
      </right>
      <top/>
      <bottom/>
      <diagonal/>
    </border>
    <border>
      <left style="thin">
        <color indexed="64"/>
      </left>
      <right style="medium">
        <color rgb="FF3D6864"/>
      </right>
      <top style="thin">
        <color indexed="64"/>
      </top>
      <bottom style="thin">
        <color indexed="64"/>
      </bottom>
      <diagonal/>
    </border>
    <border>
      <left style="thin">
        <color theme="0"/>
      </left>
      <right style="medium">
        <color rgb="FF3D6864"/>
      </right>
      <top style="thin">
        <color theme="0"/>
      </top>
      <bottom style="thin">
        <color theme="0"/>
      </bottom>
      <diagonal/>
    </border>
    <border>
      <left style="thin">
        <color theme="0"/>
      </left>
      <right style="medium">
        <color rgb="FF3D6864"/>
      </right>
      <top/>
      <bottom style="thin">
        <color theme="0"/>
      </bottom>
      <diagonal/>
    </border>
    <border>
      <left/>
      <right style="medium">
        <color rgb="FF3D6864"/>
      </right>
      <top/>
      <bottom style="thin">
        <color theme="0"/>
      </bottom>
      <diagonal/>
    </border>
    <border>
      <left style="medium">
        <color rgb="FF3D6864"/>
      </left>
      <right/>
      <top/>
      <bottom/>
      <diagonal/>
    </border>
    <border>
      <left/>
      <right style="medium">
        <color rgb="FF3D6864"/>
      </right>
      <top/>
      <bottom style="thin">
        <color indexed="64"/>
      </bottom>
      <diagonal/>
    </border>
    <border>
      <left style="medium">
        <color rgb="FF3D6864"/>
      </left>
      <right style="thin">
        <color theme="0"/>
      </right>
      <top/>
      <bottom style="thin">
        <color theme="0"/>
      </bottom>
      <diagonal/>
    </border>
    <border>
      <left style="medium">
        <color rgb="FF3D6864"/>
      </left>
      <right style="thin">
        <color indexed="64"/>
      </right>
      <top style="thin">
        <color indexed="64"/>
      </top>
      <bottom style="thin">
        <color indexed="64"/>
      </bottom>
      <diagonal/>
    </border>
    <border>
      <left style="medium">
        <color rgb="FF3D6864"/>
      </left>
      <right style="thin">
        <color theme="0"/>
      </right>
      <top style="thin">
        <color theme="0"/>
      </top>
      <bottom style="thin">
        <color theme="0"/>
      </bottom>
      <diagonal/>
    </border>
    <border>
      <left/>
      <right/>
      <top/>
      <bottom style="thin">
        <color theme="0"/>
      </bottom>
      <diagonal/>
    </border>
    <border>
      <left style="medium">
        <color rgb="FF3D6864"/>
      </left>
      <right/>
      <top/>
      <bottom style="thin">
        <color theme="0"/>
      </bottom>
      <diagonal/>
    </border>
    <border>
      <left style="medium">
        <color rgb="FF3D6864"/>
      </left>
      <right/>
      <top style="thin">
        <color theme="0"/>
      </top>
      <bottom style="thin">
        <color theme="0"/>
      </bottom>
      <diagonal/>
    </border>
    <border>
      <left style="medium">
        <color rgb="FF3D6864"/>
      </left>
      <right style="medium">
        <color rgb="FF3D6864"/>
      </right>
      <top/>
      <bottom style="thin">
        <color indexed="64"/>
      </bottom>
      <diagonal/>
    </border>
    <border>
      <left style="medium">
        <color rgb="FF3D6864"/>
      </left>
      <right style="medium">
        <color rgb="FF3D6864"/>
      </right>
      <top/>
      <bottom style="thin">
        <color theme="0"/>
      </bottom>
      <diagonal/>
    </border>
    <border>
      <left style="medium">
        <color rgb="FF3D6864"/>
      </left>
      <right style="medium">
        <color rgb="FF3D6864"/>
      </right>
      <top style="thin">
        <color indexed="64"/>
      </top>
      <bottom style="thin">
        <color indexed="64"/>
      </bottom>
      <diagonal/>
    </border>
    <border>
      <left style="medium">
        <color rgb="FF3D68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theme="0"/>
      </left>
      <right style="thin">
        <color theme="0"/>
      </right>
      <top style="thin">
        <color theme="0"/>
      </top>
      <bottom style="medium">
        <color rgb="FF3D6864"/>
      </bottom>
      <diagonal/>
    </border>
    <border>
      <left style="thin">
        <color theme="0"/>
      </left>
      <right style="medium">
        <color rgb="FF3D6864"/>
      </right>
      <top style="thin">
        <color theme="0"/>
      </top>
      <bottom style="medium">
        <color rgb="FF3D6864"/>
      </bottom>
      <diagonal/>
    </border>
    <border>
      <left/>
      <right style="thin">
        <color theme="0"/>
      </right>
      <top style="thin">
        <color theme="0"/>
      </top>
      <bottom style="medium">
        <color rgb="FF3D6864"/>
      </bottom>
      <diagonal/>
    </border>
    <border>
      <left style="thin">
        <color theme="0"/>
      </left>
      <right/>
      <top style="thin">
        <color theme="0"/>
      </top>
      <bottom style="medium">
        <color rgb="FF3D6864"/>
      </bottom>
      <diagonal/>
    </border>
    <border>
      <left/>
      <right style="medium">
        <color rgb="FF3D6864"/>
      </right>
      <top style="thin">
        <color theme="0"/>
      </top>
      <bottom style="medium">
        <color rgb="FF3D6864"/>
      </bottom>
      <diagonal/>
    </border>
    <border>
      <left/>
      <right/>
      <top style="thin">
        <color theme="0"/>
      </top>
      <bottom style="medium">
        <color rgb="FF3D6864"/>
      </bottom>
      <diagonal/>
    </border>
    <border>
      <left/>
      <right/>
      <top style="thin">
        <color indexed="64"/>
      </top>
      <bottom style="medium">
        <color rgb="FF3D6864"/>
      </bottom>
      <diagonal/>
    </border>
    <border>
      <left/>
      <right style="medium">
        <color rgb="FF3D6864"/>
      </right>
      <top style="thin">
        <color indexed="64"/>
      </top>
      <bottom style="medium">
        <color rgb="FF3D6864"/>
      </bottom>
      <diagonal/>
    </border>
    <border>
      <left style="medium">
        <color rgb="FF3D6864"/>
      </left>
      <right style="thin">
        <color rgb="FF3D6864"/>
      </right>
      <top/>
      <bottom/>
      <diagonal/>
    </border>
    <border>
      <left style="thin">
        <color rgb="FF3D6864"/>
      </left>
      <right style="thin">
        <color rgb="FF3D6864"/>
      </right>
      <top/>
      <bottom/>
      <diagonal/>
    </border>
    <border>
      <left/>
      <right style="thin">
        <color theme="0"/>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top style="medium">
        <color indexed="64"/>
      </top>
      <bottom style="thin">
        <color indexed="64"/>
      </bottom>
      <diagonal/>
    </border>
    <border>
      <left/>
      <right style="thin">
        <color indexed="64"/>
      </right>
      <top style="thin">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theme="0"/>
      </bottom>
      <diagonal/>
    </border>
    <border>
      <left style="thin">
        <color rgb="FF3D6864"/>
      </left>
      <right style="thin">
        <color rgb="FF3D6864"/>
      </right>
      <top/>
      <bottom style="thin">
        <color indexed="64"/>
      </bottom>
      <diagonal/>
    </border>
    <border>
      <left style="thin">
        <color rgb="FF3D6864"/>
      </left>
      <right style="medium">
        <color rgb="FF3D6864"/>
      </right>
      <top/>
      <bottom/>
      <diagonal/>
    </border>
    <border>
      <left style="thin">
        <color theme="0"/>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medium">
        <color rgb="FF3D68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style="thin">
        <color theme="0"/>
      </top>
      <bottom/>
      <diagonal/>
    </border>
    <border>
      <left/>
      <right style="thin">
        <color rgb="FF3D6864"/>
      </right>
      <top/>
      <bottom/>
      <diagonal/>
    </border>
    <border>
      <left style="thin">
        <color rgb="FF3D6864"/>
      </left>
      <right style="thin">
        <color indexed="64"/>
      </right>
      <top/>
      <bottom/>
      <diagonal/>
    </border>
    <border>
      <left style="thin">
        <color rgb="FF3D6864"/>
      </left>
      <right/>
      <top/>
      <bottom/>
      <diagonal/>
    </border>
    <border>
      <left style="thin">
        <color theme="0"/>
      </left>
      <right/>
      <top style="thin">
        <color theme="0" tint="-0.14996795556505021"/>
      </top>
      <bottom style="thin">
        <color indexed="64"/>
      </bottom>
      <diagonal/>
    </border>
    <border>
      <left style="medium">
        <color rgb="FF3D6864"/>
      </left>
      <right/>
      <top style="thin">
        <color indexed="64"/>
      </top>
      <bottom style="medium">
        <color rgb="FF3D68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medium">
        <color rgb="FF3D6864"/>
      </left>
      <right style="medium">
        <color rgb="FF3D6864"/>
      </right>
      <top/>
      <bottom/>
      <diagonal/>
    </border>
    <border>
      <left style="medium">
        <color rgb="FF3D6864"/>
      </left>
      <right style="medium">
        <color rgb="FF3D6864"/>
      </right>
      <top style="thin">
        <color indexed="64"/>
      </top>
      <bottom style="medium">
        <color rgb="FF3D6864"/>
      </bottom>
      <diagonal/>
    </border>
    <border>
      <left style="medium">
        <color rgb="FF3D6864"/>
      </left>
      <right style="medium">
        <color rgb="FF3D6864"/>
      </right>
      <top style="thin">
        <color indexed="64"/>
      </top>
      <bottom/>
      <diagonal/>
    </border>
    <border>
      <left style="thin">
        <color theme="0"/>
      </left>
      <right style="thin">
        <color theme="0"/>
      </right>
      <top style="thin">
        <color theme="0"/>
      </top>
      <bottom/>
      <diagonal/>
    </border>
    <border>
      <left style="thin">
        <color theme="0"/>
      </left>
      <right style="medium">
        <color rgb="FF3D6864"/>
      </right>
      <top style="thin">
        <color theme="0"/>
      </top>
      <bottom/>
      <diagonal/>
    </border>
    <border>
      <left style="thin">
        <color indexed="64"/>
      </left>
      <right style="medium">
        <color rgb="FF3D6864"/>
      </right>
      <top style="thin">
        <color theme="0"/>
      </top>
      <bottom style="thin">
        <color indexed="64"/>
      </bottom>
      <diagonal/>
    </border>
    <border>
      <left style="medium">
        <color rgb="FF3D6864"/>
      </left>
      <right style="thin">
        <color theme="0"/>
      </right>
      <top style="thin">
        <color indexed="64"/>
      </top>
      <bottom style="thin">
        <color indexed="64"/>
      </bottom>
      <diagonal/>
    </border>
    <border>
      <left style="medium">
        <color rgb="FF3D6864"/>
      </left>
      <right style="thin">
        <color theme="0"/>
      </right>
      <top style="thin">
        <color theme="0"/>
      </top>
      <bottom style="thin">
        <color indexed="64"/>
      </bottom>
      <diagonal/>
    </border>
    <border>
      <left style="medium">
        <color rgb="FF3D6864"/>
      </left>
      <right style="thin">
        <color rgb="FF3D6864"/>
      </right>
      <top style="thin">
        <color theme="0"/>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bottom/>
      <diagonal/>
    </border>
    <border>
      <left style="thin">
        <color indexed="64"/>
      </left>
      <right/>
      <top style="medium">
        <color indexed="64"/>
      </top>
      <bottom/>
      <diagonal/>
    </border>
    <border>
      <left/>
      <right style="thin">
        <color theme="0"/>
      </right>
      <top style="thin">
        <color indexed="64"/>
      </top>
      <bottom style="thin">
        <color theme="0"/>
      </bottom>
      <diagonal/>
    </border>
    <border>
      <left/>
      <right/>
      <top/>
      <bottom style="thin">
        <color theme="0" tint="-0.249977111117893"/>
      </bottom>
      <diagonal/>
    </border>
    <border>
      <left style="medium">
        <color indexed="64"/>
      </left>
      <right style="medium">
        <color indexed="64"/>
      </right>
      <top style="thin">
        <color indexed="64"/>
      </top>
      <bottom/>
      <diagonal/>
    </border>
    <border>
      <left style="thin">
        <color indexed="64"/>
      </left>
      <right style="medium">
        <color rgb="FF3D6864"/>
      </right>
      <top/>
      <bottom style="thin">
        <color indexed="64"/>
      </bottom>
      <diagonal/>
    </border>
    <border>
      <left/>
      <right style="thin">
        <color theme="1"/>
      </right>
      <top style="thin">
        <color indexed="64"/>
      </top>
      <bottom style="thin">
        <color theme="0"/>
      </bottom>
      <diagonal/>
    </border>
    <border>
      <left/>
      <right style="thin">
        <color theme="1"/>
      </right>
      <top style="thin">
        <color theme="0"/>
      </top>
      <bottom style="thin">
        <color theme="0"/>
      </bottom>
      <diagonal/>
    </border>
    <border>
      <left/>
      <right/>
      <top style="thin">
        <color theme="0"/>
      </top>
      <bottom/>
      <diagonal/>
    </border>
    <border>
      <left/>
      <right style="thin">
        <color indexed="64"/>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4">
    <xf numFmtId="0" fontId="0" fillId="0" borderId="0"/>
    <xf numFmtId="0" fontId="2" fillId="0" borderId="0"/>
    <xf numFmtId="9" fontId="6" fillId="0" borderId="0" applyFont="0" applyFill="0" applyBorder="0" applyAlignment="0" applyProtection="0"/>
    <xf numFmtId="0" fontId="53" fillId="17" borderId="0" applyNumberFormat="0" applyBorder="0" applyAlignment="0" applyProtection="0"/>
  </cellStyleXfs>
  <cellXfs count="1369">
    <xf numFmtId="0" fontId="0" fillId="0" borderId="0" xfId="0"/>
    <xf numFmtId="0" fontId="0" fillId="2" borderId="0" xfId="0" applyFill="1" applyProtection="1">
      <protection hidden="1"/>
    </xf>
    <xf numFmtId="0" fontId="0" fillId="2" borderId="0" xfId="0" applyFont="1" applyFill="1" applyProtection="1">
      <protection hidden="1"/>
    </xf>
    <xf numFmtId="0" fontId="0" fillId="2" borderId="0" xfId="0" applyFill="1" applyBorder="1" applyProtection="1">
      <protection hidden="1"/>
    </xf>
    <xf numFmtId="0" fontId="9" fillId="2" borderId="0" xfId="0" applyFont="1" applyFill="1" applyProtection="1">
      <protection hidden="1"/>
    </xf>
    <xf numFmtId="0" fontId="11" fillId="2" borderId="0" xfId="0" applyFont="1" applyFill="1" applyProtection="1">
      <protection hidden="1"/>
    </xf>
    <xf numFmtId="0" fontId="12" fillId="2" borderId="0" xfId="0" applyFont="1" applyFill="1" applyAlignment="1" applyProtection="1">
      <alignment horizontal="center" wrapText="1"/>
      <protection hidden="1"/>
    </xf>
    <xf numFmtId="0" fontId="0" fillId="2" borderId="1" xfId="0" applyFill="1" applyBorder="1" applyProtection="1">
      <protection hidden="1"/>
    </xf>
    <xf numFmtId="0" fontId="0" fillId="2" borderId="0" xfId="0" applyFill="1" applyAlignment="1" applyProtection="1">
      <alignment wrapText="1"/>
      <protection hidden="1"/>
    </xf>
    <xf numFmtId="0" fontId="9" fillId="2" borderId="0" xfId="0" applyFont="1" applyFill="1" applyAlignment="1" applyProtection="1">
      <alignment vertical="top" wrapText="1"/>
      <protection hidden="1"/>
    </xf>
    <xf numFmtId="0" fontId="0" fillId="2" borderId="0" xfId="0" applyFont="1" applyFill="1" applyAlignment="1" applyProtection="1">
      <alignment horizontal="left" vertical="top" wrapText="1"/>
      <protection hidden="1"/>
    </xf>
    <xf numFmtId="0" fontId="10" fillId="2" borderId="0" xfId="0" applyFont="1" applyFill="1" applyAlignment="1" applyProtection="1">
      <alignment horizontal="left" vertical="top" wrapText="1"/>
      <protection hidden="1"/>
    </xf>
    <xf numFmtId="0" fontId="18" fillId="2" borderId="0" xfId="0" applyFont="1" applyFill="1" applyProtection="1">
      <protection hidden="1"/>
    </xf>
    <xf numFmtId="0" fontId="18" fillId="2" borderId="0" xfId="0" applyFont="1" applyFill="1" applyAlignment="1" applyProtection="1">
      <alignment vertical="top" wrapText="1"/>
      <protection hidden="1"/>
    </xf>
    <xf numFmtId="0" fontId="18" fillId="2" borderId="0" xfId="0" applyFont="1" applyFill="1" applyAlignment="1" applyProtection="1">
      <alignment horizontal="left" vertical="top" wrapText="1"/>
      <protection hidden="1"/>
    </xf>
    <xf numFmtId="0" fontId="17" fillId="2" borderId="0" xfId="0" applyFont="1" applyFill="1" applyProtection="1">
      <protection hidden="1"/>
    </xf>
    <xf numFmtId="0" fontId="0" fillId="0" borderId="0" xfId="0" applyFill="1" applyBorder="1" applyProtection="1">
      <protection hidden="1"/>
    </xf>
    <xf numFmtId="0" fontId="0" fillId="0" borderId="0" xfId="0" applyFill="1" applyProtection="1">
      <protection hidden="1"/>
    </xf>
    <xf numFmtId="0" fontId="0" fillId="4" borderId="0" xfId="0" applyFill="1" applyProtection="1">
      <protection hidden="1"/>
    </xf>
    <xf numFmtId="0" fontId="24" fillId="2" borderId="0" xfId="0" applyFont="1" applyFill="1" applyProtection="1">
      <protection hidden="1"/>
    </xf>
    <xf numFmtId="0" fontId="1" fillId="4" borderId="0" xfId="0" applyFont="1" applyFill="1" applyProtection="1">
      <protection hidden="1"/>
    </xf>
    <xf numFmtId="0" fontId="11" fillId="2" borderId="0" xfId="0" applyFont="1" applyFill="1" applyAlignment="1" applyProtection="1">
      <alignment vertical="top" wrapText="1"/>
      <protection hidden="1"/>
    </xf>
    <xf numFmtId="0" fontId="4" fillId="2" borderId="0" xfId="0" applyFont="1" applyFill="1" applyAlignment="1" applyProtection="1">
      <alignment vertical="top" wrapText="1"/>
      <protection hidden="1"/>
    </xf>
    <xf numFmtId="0" fontId="0" fillId="4" borderId="0" xfId="0" applyFill="1"/>
    <xf numFmtId="0" fontId="9" fillId="8" borderId="2" xfId="0" applyFont="1" applyFill="1" applyBorder="1" applyProtection="1">
      <protection hidden="1"/>
    </xf>
    <xf numFmtId="0" fontId="17" fillId="2" borderId="0" xfId="0" applyFont="1" applyFill="1" applyAlignment="1" applyProtection="1">
      <alignment horizontal="left" vertical="top" wrapText="1"/>
      <protection hidden="1"/>
    </xf>
    <xf numFmtId="0" fontId="23" fillId="4" borderId="0" xfId="0" applyFont="1" applyFill="1" applyAlignment="1" applyProtection="1">
      <alignment horizontal="right"/>
      <protection hidden="1"/>
    </xf>
    <xf numFmtId="0" fontId="0" fillId="2" borderId="0" xfId="0" applyFill="1" applyBorder="1" applyAlignment="1" applyProtection="1">
      <alignment horizontal="left" vertical="top" wrapText="1"/>
      <protection hidden="1"/>
    </xf>
    <xf numFmtId="0" fontId="17" fillId="2" borderId="0" xfId="0" applyFont="1" applyFill="1" applyAlignment="1" applyProtection="1">
      <alignment vertical="top" wrapText="1"/>
      <protection hidden="1"/>
    </xf>
    <xf numFmtId="0" fontId="17" fillId="0" borderId="0" xfId="0" applyFont="1" applyFill="1" applyAlignment="1" applyProtection="1">
      <alignment vertical="top" wrapText="1"/>
      <protection hidden="1"/>
    </xf>
    <xf numFmtId="0" fontId="0" fillId="0" borderId="0" xfId="0"/>
    <xf numFmtId="0" fontId="23" fillId="4" borderId="0" xfId="0" applyFont="1" applyFill="1" applyAlignment="1" applyProtection="1">
      <alignment horizontal="left"/>
      <protection hidden="1"/>
    </xf>
    <xf numFmtId="0" fontId="0" fillId="4" borderId="0" xfId="0" applyFill="1" applyAlignment="1" applyProtection="1">
      <alignment horizontal="left"/>
      <protection hidden="1"/>
    </xf>
    <xf numFmtId="0" fontId="17" fillId="4" borderId="0" xfId="0" applyFont="1" applyFill="1" applyBorder="1" applyAlignment="1" applyProtection="1">
      <alignment vertical="top" wrapText="1"/>
      <protection hidden="1"/>
    </xf>
    <xf numFmtId="0" fontId="16" fillId="4" borderId="0" xfId="0" applyFont="1" applyFill="1" applyBorder="1" applyAlignment="1" applyProtection="1">
      <alignment horizontal="right" vertical="center"/>
      <protection hidden="1"/>
    </xf>
    <xf numFmtId="0" fontId="11" fillId="4" borderId="0" xfId="0" applyFont="1" applyFill="1" applyAlignment="1" applyProtection="1">
      <alignment vertical="top" wrapText="1"/>
      <protection hidden="1"/>
    </xf>
    <xf numFmtId="0" fontId="0" fillId="4" borderId="0" xfId="0" applyFont="1" applyFill="1" applyAlignment="1" applyProtection="1">
      <alignment horizontal="left" vertical="top" wrapText="1"/>
      <protection hidden="1"/>
    </xf>
    <xf numFmtId="0" fontId="0" fillId="4" borderId="0" xfId="0" applyFont="1" applyFill="1" applyProtection="1">
      <protection hidden="1"/>
    </xf>
    <xf numFmtId="0" fontId="9" fillId="4" borderId="0" xfId="0" applyFont="1" applyFill="1" applyBorder="1" applyAlignment="1" applyProtection="1">
      <alignment horizontal="left" vertical="center" wrapText="1"/>
      <protection hidden="1"/>
    </xf>
    <xf numFmtId="0" fontId="33" fillId="2" borderId="0" xfId="0" applyFont="1" applyFill="1" applyProtection="1">
      <protection hidden="1"/>
    </xf>
    <xf numFmtId="0" fontId="0" fillId="2" borderId="0" xfId="0" applyFont="1" applyFill="1" applyAlignment="1" applyProtection="1">
      <alignment vertical="top"/>
      <protection hidden="1"/>
    </xf>
    <xf numFmtId="0" fontId="33" fillId="2" borderId="0" xfId="0" applyFont="1" applyFill="1" applyAlignment="1" applyProtection="1">
      <alignment vertical="top" wrapText="1"/>
      <protection hidden="1"/>
    </xf>
    <xf numFmtId="0" fontId="23" fillId="6" borderId="34" xfId="0" applyFont="1" applyFill="1" applyBorder="1" applyProtection="1">
      <protection hidden="1"/>
    </xf>
    <xf numFmtId="0" fontId="26" fillId="4" borderId="7" xfId="0" applyFont="1" applyFill="1" applyBorder="1" applyAlignment="1" applyProtection="1">
      <alignment horizontal="center" vertical="center"/>
      <protection locked="0"/>
    </xf>
    <xf numFmtId="0" fontId="0" fillId="5" borderId="0" xfId="0" applyFill="1" applyBorder="1" applyAlignment="1" applyProtection="1">
      <alignment horizontal="center" vertical="center"/>
      <protection hidden="1"/>
    </xf>
    <xf numFmtId="0" fontId="0" fillId="2" borderId="0" xfId="0" applyFill="1" applyBorder="1" applyAlignment="1" applyProtection="1">
      <alignment horizontal="left"/>
      <protection hidden="1"/>
    </xf>
    <xf numFmtId="0" fontId="0" fillId="8" borderId="0" xfId="0" applyFont="1" applyFill="1" applyProtection="1">
      <protection hidden="1"/>
    </xf>
    <xf numFmtId="0" fontId="7" fillId="3" borderId="27" xfId="0" applyFont="1" applyFill="1" applyBorder="1" applyAlignment="1" applyProtection="1">
      <alignment horizontal="right" vertical="center"/>
      <protection hidden="1"/>
    </xf>
    <xf numFmtId="0" fontId="7" fillId="3" borderId="27" xfId="0" applyFont="1" applyFill="1" applyBorder="1" applyAlignment="1" applyProtection="1">
      <alignment horizontal="right" vertical="center" wrapText="1"/>
      <protection hidden="1"/>
    </xf>
    <xf numFmtId="0" fontId="0" fillId="0" borderId="2" xfId="0" applyBorder="1"/>
    <xf numFmtId="0" fontId="0" fillId="12" borderId="2" xfId="0" applyFill="1" applyBorder="1"/>
    <xf numFmtId="0" fontId="0" fillId="0" borderId="5" xfId="0" applyBorder="1"/>
    <xf numFmtId="0" fontId="0" fillId="12" borderId="5" xfId="0" applyFill="1" applyBorder="1"/>
    <xf numFmtId="0" fontId="23" fillId="10" borderId="64" xfId="0" applyFont="1" applyFill="1" applyBorder="1"/>
    <xf numFmtId="0" fontId="0" fillId="0" borderId="3" xfId="0" applyBorder="1"/>
    <xf numFmtId="0" fontId="0" fillId="12" borderId="3" xfId="0" applyFill="1" applyBorder="1"/>
    <xf numFmtId="0" fontId="32" fillId="13" borderId="64" xfId="0" applyFont="1" applyFill="1" applyBorder="1"/>
    <xf numFmtId="0" fontId="23" fillId="10" borderId="52" xfId="0" applyFont="1" applyFill="1" applyBorder="1" applyAlignment="1" applyProtection="1">
      <alignment wrapText="1"/>
      <protection hidden="1"/>
    </xf>
    <xf numFmtId="0" fontId="0" fillId="8" borderId="63" xfId="0" applyFont="1" applyFill="1" applyBorder="1"/>
    <xf numFmtId="0" fontId="23" fillId="10" borderId="10" xfId="0" applyFont="1" applyFill="1" applyBorder="1" applyAlignment="1" applyProtection="1">
      <alignment wrapText="1"/>
      <protection hidden="1"/>
    </xf>
    <xf numFmtId="0" fontId="23" fillId="6" borderId="0" xfId="0" applyFont="1" applyFill="1" applyBorder="1" applyProtection="1">
      <protection hidden="1"/>
    </xf>
    <xf numFmtId="0" fontId="0" fillId="8" borderId="64" xfId="0" applyFill="1" applyBorder="1"/>
    <xf numFmtId="0" fontId="1" fillId="5" borderId="52" xfId="0" applyFont="1" applyFill="1" applyBorder="1" applyAlignment="1" applyProtection="1">
      <alignment vertical="center"/>
      <protection hidden="1"/>
    </xf>
    <xf numFmtId="0" fontId="1" fillId="5" borderId="65" xfId="0" applyFont="1" applyFill="1" applyBorder="1" applyAlignment="1" applyProtection="1">
      <alignment horizontal="left" vertical="center"/>
      <protection hidden="1"/>
    </xf>
    <xf numFmtId="0" fontId="23" fillId="2" borderId="0" xfId="0" applyFont="1" applyFill="1" applyProtection="1">
      <protection hidden="1"/>
    </xf>
    <xf numFmtId="0" fontId="23" fillId="10" borderId="84" xfId="0" applyFont="1" applyFill="1" applyBorder="1"/>
    <xf numFmtId="0" fontId="0" fillId="8" borderId="65" xfId="0" applyFill="1" applyBorder="1"/>
    <xf numFmtId="0" fontId="0" fillId="8" borderId="2" xfId="0" applyFill="1" applyBorder="1"/>
    <xf numFmtId="0" fontId="0" fillId="8" borderId="0" xfId="0" applyFill="1"/>
    <xf numFmtId="0" fontId="0" fillId="0" borderId="15" xfId="0" applyBorder="1"/>
    <xf numFmtId="0" fontId="0" fillId="2" borderId="2" xfId="0" applyFill="1" applyBorder="1" applyProtection="1">
      <protection hidden="1"/>
    </xf>
    <xf numFmtId="0" fontId="0" fillId="3" borderId="0" xfId="0" applyFill="1" applyAlignment="1" applyProtection="1">
      <alignment horizontal="center"/>
      <protection hidden="1"/>
    </xf>
    <xf numFmtId="0" fontId="0" fillId="3" borderId="40" xfId="0" applyFill="1" applyBorder="1" applyAlignment="1" applyProtection="1">
      <alignment horizontal="center"/>
      <protection hidden="1"/>
    </xf>
    <xf numFmtId="0" fontId="0" fillId="2" borderId="55" xfId="0" applyFill="1" applyBorder="1" applyProtection="1">
      <protection hidden="1"/>
    </xf>
    <xf numFmtId="0" fontId="0" fillId="2" borderId="57" xfId="0" applyFill="1" applyBorder="1" applyProtection="1">
      <protection hidden="1"/>
    </xf>
    <xf numFmtId="0" fontId="0" fillId="2" borderId="58" xfId="0" applyFill="1" applyBorder="1" applyProtection="1">
      <protection hidden="1"/>
    </xf>
    <xf numFmtId="0" fontId="0" fillId="2" borderId="60" xfId="0" applyFill="1" applyBorder="1" applyProtection="1">
      <protection hidden="1"/>
    </xf>
    <xf numFmtId="0" fontId="23" fillId="6" borderId="98" xfId="0" applyFont="1" applyFill="1" applyBorder="1" applyProtection="1">
      <protection hidden="1"/>
    </xf>
    <xf numFmtId="0" fontId="26" fillId="5" borderId="34" xfId="0" applyFont="1" applyFill="1" applyBorder="1" applyAlignment="1" applyProtection="1">
      <alignment horizontal="center" vertical="center"/>
      <protection hidden="1"/>
    </xf>
    <xf numFmtId="0" fontId="3" fillId="4" borderId="2" xfId="0" applyFont="1" applyFill="1" applyBorder="1" applyProtection="1">
      <protection hidden="1"/>
    </xf>
    <xf numFmtId="0" fontId="26" fillId="4" borderId="2" xfId="0" applyFont="1" applyFill="1" applyBorder="1" applyAlignment="1" applyProtection="1">
      <alignment horizontal="left" vertical="center" wrapText="1"/>
      <protection locked="0"/>
    </xf>
    <xf numFmtId="0" fontId="26" fillId="4" borderId="4" xfId="0" applyFont="1" applyFill="1" applyBorder="1" applyAlignment="1" applyProtection="1">
      <alignment horizontal="left" vertical="center" wrapText="1"/>
      <protection locked="0"/>
    </xf>
    <xf numFmtId="0" fontId="0" fillId="4" borderId="0" xfId="0" applyFill="1" applyAlignment="1">
      <alignment wrapText="1"/>
    </xf>
    <xf numFmtId="0" fontId="26" fillId="4" borderId="43" xfId="0" applyFont="1" applyFill="1" applyBorder="1" applyAlignment="1" applyProtection="1">
      <alignment horizontal="center" vertical="center" wrapText="1"/>
      <protection locked="0"/>
    </xf>
    <xf numFmtId="0" fontId="1" fillId="5" borderId="54" xfId="0" applyFont="1" applyFill="1" applyBorder="1" applyAlignment="1" applyProtection="1">
      <alignment vertical="center"/>
      <protection hidden="1"/>
    </xf>
    <xf numFmtId="0" fontId="1" fillId="5" borderId="55" xfId="0" applyFont="1" applyFill="1" applyBorder="1" applyAlignment="1" applyProtection="1">
      <alignment vertical="center"/>
      <protection hidden="1"/>
    </xf>
    <xf numFmtId="0" fontId="1" fillId="5" borderId="59" xfId="0" applyFont="1" applyFill="1" applyBorder="1" applyAlignment="1" applyProtection="1">
      <alignment horizontal="left" vertical="center"/>
      <protection hidden="1"/>
    </xf>
    <xf numFmtId="0" fontId="1" fillId="5" borderId="60" xfId="0" applyFont="1" applyFill="1" applyBorder="1" applyAlignment="1" applyProtection="1">
      <alignment vertical="center"/>
      <protection hidden="1"/>
    </xf>
    <xf numFmtId="10" fontId="9" fillId="5" borderId="99" xfId="2" applyNumberFormat="1" applyFont="1" applyFill="1" applyBorder="1" applyAlignment="1" applyProtection="1">
      <alignment horizontal="left" vertical="center"/>
      <protection hidden="1"/>
    </xf>
    <xf numFmtId="0" fontId="32" fillId="0" borderId="0" xfId="0" applyFont="1" applyFill="1" applyProtection="1">
      <protection hidden="1"/>
    </xf>
    <xf numFmtId="0" fontId="40" fillId="3" borderId="101" xfId="0" applyFont="1" applyFill="1" applyBorder="1" applyAlignment="1" applyProtection="1">
      <alignment horizontal="left" vertical="center"/>
      <protection hidden="1"/>
    </xf>
    <xf numFmtId="0" fontId="0" fillId="8" borderId="2" xfId="0" applyFill="1" applyBorder="1" applyProtection="1">
      <protection hidden="1"/>
    </xf>
    <xf numFmtId="0" fontId="13" fillId="0" borderId="0" xfId="0" applyFont="1" applyFill="1" applyBorder="1" applyAlignment="1" applyProtection="1">
      <alignment vertical="center"/>
      <protection hidden="1"/>
    </xf>
    <xf numFmtId="0" fontId="0" fillId="8" borderId="0" xfId="0" applyFill="1" applyProtection="1">
      <protection hidden="1"/>
    </xf>
    <xf numFmtId="0" fontId="0" fillId="8" borderId="0" xfId="0" applyFill="1" applyBorder="1" applyProtection="1">
      <protection hidden="1"/>
    </xf>
    <xf numFmtId="0" fontId="0" fillId="2" borderId="0" xfId="0" applyFill="1" applyBorder="1" applyAlignment="1" applyProtection="1">
      <protection hidden="1"/>
    </xf>
    <xf numFmtId="0" fontId="0" fillId="0" borderId="0" xfId="0" applyProtection="1"/>
    <xf numFmtId="0" fontId="0" fillId="0" borderId="0" xfId="0" applyFill="1" applyProtection="1"/>
    <xf numFmtId="0" fontId="0" fillId="2" borderId="0" xfId="0" applyFont="1" applyFill="1" applyProtection="1"/>
    <xf numFmtId="0" fontId="0" fillId="0" borderId="0" xfId="0" applyBorder="1" applyProtection="1"/>
    <xf numFmtId="0" fontId="30" fillId="2" borderId="0"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1" fillId="2" borderId="1" xfId="0" applyFont="1" applyFill="1" applyBorder="1" applyProtection="1"/>
    <xf numFmtId="0" fontId="7" fillId="3" borderId="34" xfId="0" applyFont="1" applyFill="1" applyBorder="1" applyAlignment="1" applyProtection="1">
      <alignment horizontal="left" vertical="center"/>
    </xf>
    <xf numFmtId="0" fontId="7" fillId="3" borderId="42" xfId="0" applyFont="1" applyFill="1" applyBorder="1" applyAlignment="1" applyProtection="1">
      <alignment horizontal="left" vertical="center"/>
    </xf>
    <xf numFmtId="0" fontId="7" fillId="3" borderId="31" xfId="0" applyFont="1" applyFill="1" applyBorder="1" applyAlignment="1" applyProtection="1">
      <alignment horizontal="left" vertical="center"/>
    </xf>
    <xf numFmtId="0" fontId="1" fillId="5" borderId="31" xfId="0" applyFont="1" applyFill="1" applyBorder="1" applyAlignment="1" applyProtection="1">
      <alignment horizontal="left" vertical="center"/>
    </xf>
    <xf numFmtId="0" fontId="0" fillId="4" borderId="0" xfId="0" applyFill="1" applyProtection="1"/>
    <xf numFmtId="0" fontId="1" fillId="5" borderId="27" xfId="0" applyFont="1" applyFill="1" applyBorder="1" applyAlignment="1" applyProtection="1">
      <alignment horizontal="left" vertical="center"/>
    </xf>
    <xf numFmtId="0" fontId="7" fillId="3" borderId="44" xfId="0" applyFont="1" applyFill="1" applyBorder="1" applyAlignment="1" applyProtection="1">
      <alignment horizontal="left" vertical="center"/>
    </xf>
    <xf numFmtId="0" fontId="7" fillId="3" borderId="26" xfId="0" applyFont="1" applyFill="1" applyBorder="1" applyAlignment="1" applyProtection="1">
      <alignment horizontal="left" vertical="center"/>
    </xf>
    <xf numFmtId="0" fontId="7" fillId="3" borderId="28" xfId="0" applyFont="1" applyFill="1" applyBorder="1" applyAlignment="1" applyProtection="1">
      <alignment horizontal="left" vertical="center"/>
    </xf>
    <xf numFmtId="0" fontId="1" fillId="5" borderId="26" xfId="0" applyFont="1" applyFill="1" applyBorder="1" applyAlignment="1" applyProtection="1">
      <alignment vertical="center"/>
    </xf>
    <xf numFmtId="0" fontId="38" fillId="2" borderId="40" xfId="0" applyFont="1" applyFill="1" applyBorder="1" applyProtection="1"/>
    <xf numFmtId="0" fontId="0" fillId="2" borderId="0" xfId="0" applyFont="1" applyFill="1" applyBorder="1" applyProtection="1"/>
    <xf numFmtId="0" fontId="0" fillId="4" borderId="0" xfId="0" applyFont="1" applyFill="1" applyBorder="1" applyProtection="1"/>
    <xf numFmtId="0" fontId="41" fillId="2" borderId="96" xfId="0" applyFont="1" applyFill="1" applyBorder="1" applyAlignment="1" applyProtection="1">
      <alignment horizontal="left" vertical="top" wrapText="1"/>
    </xf>
    <xf numFmtId="0" fontId="29" fillId="2" borderId="0" xfId="0" applyFont="1" applyFill="1" applyBorder="1" applyAlignment="1" applyProtection="1">
      <alignment horizontal="left" wrapText="1"/>
    </xf>
    <xf numFmtId="0" fontId="29" fillId="2" borderId="97" xfId="0" applyFont="1" applyFill="1" applyBorder="1" applyAlignment="1" applyProtection="1">
      <alignment horizontal="left" wrapText="1"/>
    </xf>
    <xf numFmtId="0" fontId="29" fillId="2" borderId="97" xfId="0" applyFont="1" applyFill="1" applyBorder="1" applyAlignment="1" applyProtection="1">
      <alignment vertical="top" wrapText="1"/>
    </xf>
    <xf numFmtId="0" fontId="29" fillId="2" borderId="35" xfId="0" applyFont="1" applyFill="1" applyBorder="1" applyAlignment="1" applyProtection="1">
      <alignment horizontal="center" vertical="top" wrapText="1"/>
    </xf>
    <xf numFmtId="0" fontId="0" fillId="4" borderId="0" xfId="0" applyFill="1" applyAlignment="1" applyProtection="1">
      <alignment vertical="top" wrapText="1"/>
    </xf>
    <xf numFmtId="0" fontId="26" fillId="5" borderId="37" xfId="0" applyFont="1" applyFill="1" applyBorder="1" applyAlignment="1" applyProtection="1">
      <alignment horizontal="center" vertical="center"/>
    </xf>
    <xf numFmtId="164" fontId="26" fillId="5" borderId="24" xfId="0" applyNumberFormat="1" applyFont="1" applyFill="1" applyBorder="1" applyAlignment="1" applyProtection="1">
      <alignment horizontal="center" vertical="center"/>
    </xf>
    <xf numFmtId="0" fontId="0" fillId="5" borderId="24" xfId="0" applyFill="1" applyBorder="1" applyAlignment="1" applyProtection="1">
      <alignment vertical="center"/>
    </xf>
    <xf numFmtId="0" fontId="37" fillId="5" borderId="89" xfId="0" applyFont="1" applyFill="1" applyBorder="1" applyAlignment="1" applyProtection="1">
      <alignment horizontal="center" vertical="center"/>
    </xf>
    <xf numFmtId="164" fontId="37" fillId="5" borderId="88" xfId="0" applyNumberFormat="1" applyFont="1" applyFill="1" applyBorder="1" applyAlignment="1" applyProtection="1">
      <alignment horizontal="center" vertical="center"/>
    </xf>
    <xf numFmtId="0" fontId="0" fillId="5" borderId="26" xfId="0" applyFill="1" applyBorder="1" applyAlignment="1" applyProtection="1">
      <alignment horizontal="left" vertical="center"/>
    </xf>
    <xf numFmtId="0" fontId="26" fillId="5" borderId="26" xfId="0" applyFont="1" applyFill="1" applyBorder="1" applyAlignment="1" applyProtection="1">
      <alignment vertical="center"/>
    </xf>
    <xf numFmtId="0" fontId="0" fillId="5" borderId="26" xfId="0" applyFill="1" applyBorder="1" applyAlignment="1" applyProtection="1">
      <alignment vertical="center"/>
    </xf>
    <xf numFmtId="0" fontId="0" fillId="0" borderId="0" xfId="0" applyFont="1" applyProtection="1"/>
    <xf numFmtId="0" fontId="37" fillId="5" borderId="90" xfId="0" applyFont="1" applyFill="1" applyBorder="1" applyAlignment="1" applyProtection="1">
      <alignment horizontal="center" vertical="center"/>
      <protection locked="0"/>
    </xf>
    <xf numFmtId="0" fontId="0" fillId="4" borderId="0" xfId="0" applyFill="1" applyProtection="1">
      <protection locked="0"/>
    </xf>
    <xf numFmtId="0" fontId="0" fillId="4" borderId="0" xfId="0" applyFill="1" applyAlignment="1" applyProtection="1">
      <alignment wrapText="1"/>
      <protection locked="0"/>
    </xf>
    <xf numFmtId="0" fontId="26" fillId="5" borderId="93" xfId="0" applyFont="1" applyFill="1" applyBorder="1" applyAlignment="1" applyProtection="1">
      <alignment horizontal="left" vertical="center" wrapText="1"/>
      <protection locked="0"/>
    </xf>
    <xf numFmtId="0" fontId="26" fillId="5" borderId="94" xfId="0" applyFont="1" applyFill="1" applyBorder="1" applyAlignment="1" applyProtection="1">
      <alignment horizontal="center" vertical="center" wrapText="1"/>
      <protection locked="0"/>
    </xf>
    <xf numFmtId="0" fontId="26" fillId="5" borderId="93" xfId="0" applyFont="1" applyFill="1" applyBorder="1" applyAlignment="1" applyProtection="1">
      <alignment horizontal="center" vertical="center" wrapText="1"/>
      <protection locked="0"/>
    </xf>
    <xf numFmtId="0" fontId="32" fillId="0" borderId="0" xfId="0" applyFont="1" applyProtection="1"/>
    <xf numFmtId="0" fontId="23" fillId="10" borderId="52" xfId="0" applyFont="1" applyFill="1" applyBorder="1" applyProtection="1"/>
    <xf numFmtId="1" fontId="0" fillId="0" borderId="0" xfId="0" applyNumberFormat="1" applyProtection="1"/>
    <xf numFmtId="0" fontId="32" fillId="9" borderId="52" xfId="0" applyFont="1" applyFill="1" applyBorder="1" applyAlignment="1" applyProtection="1">
      <alignment horizontal="center"/>
    </xf>
    <xf numFmtId="0" fontId="0" fillId="0" borderId="0" xfId="0" applyAlignment="1" applyProtection="1">
      <alignment horizontal="right"/>
    </xf>
    <xf numFmtId="0" fontId="0" fillId="8" borderId="63" xfId="0" applyFont="1" applyFill="1" applyBorder="1" applyProtection="1"/>
    <xf numFmtId="0" fontId="0" fillId="8" borderId="64" xfId="0" applyFont="1" applyFill="1" applyBorder="1" applyProtection="1"/>
    <xf numFmtId="0" fontId="0" fillId="8" borderId="52" xfId="0" applyFill="1" applyBorder="1" applyAlignment="1" applyProtection="1">
      <alignment horizontal="center" vertical="center"/>
    </xf>
    <xf numFmtId="0" fontId="23" fillId="10" borderId="63" xfId="0" applyFont="1" applyFill="1" applyBorder="1" applyProtection="1"/>
    <xf numFmtId="0" fontId="23" fillId="10" borderId="64" xfId="0" applyFont="1" applyFill="1" applyBorder="1" applyProtection="1"/>
    <xf numFmtId="0" fontId="23" fillId="10" borderId="72" xfId="0" applyFont="1" applyFill="1" applyBorder="1" applyProtection="1"/>
    <xf numFmtId="0" fontId="0" fillId="10" borderId="53" xfId="0" applyFill="1" applyBorder="1" applyProtection="1"/>
    <xf numFmtId="0" fontId="0" fillId="10" borderId="54" xfId="0" applyFill="1" applyBorder="1" applyProtection="1"/>
    <xf numFmtId="0" fontId="0" fillId="8" borderId="68" xfId="0" applyFill="1" applyBorder="1" applyProtection="1"/>
    <xf numFmtId="0" fontId="23" fillId="10" borderId="80" xfId="0" applyFont="1" applyFill="1" applyBorder="1" applyProtection="1"/>
    <xf numFmtId="0" fontId="23" fillId="10" borderId="81" xfId="0" applyFont="1" applyFill="1" applyBorder="1" applyProtection="1"/>
    <xf numFmtId="0" fontId="23" fillId="10" borderId="82" xfId="0" applyFont="1" applyFill="1" applyBorder="1" applyProtection="1"/>
    <xf numFmtId="0" fontId="23" fillId="10" borderId="65" xfId="0" applyFont="1" applyFill="1" applyBorder="1" applyProtection="1"/>
    <xf numFmtId="0" fontId="23" fillId="10" borderId="83" xfId="0" applyFont="1" applyFill="1" applyBorder="1" applyProtection="1"/>
    <xf numFmtId="0" fontId="23" fillId="10" borderId="66" xfId="0" applyFont="1" applyFill="1" applyBorder="1" applyProtection="1"/>
    <xf numFmtId="0" fontId="23" fillId="10" borderId="9" xfId="0" applyFont="1" applyFill="1" applyBorder="1" applyProtection="1"/>
    <xf numFmtId="0" fontId="23" fillId="10" borderId="58" xfId="0" applyFont="1" applyFill="1" applyBorder="1" applyProtection="1"/>
    <xf numFmtId="0" fontId="23" fillId="10" borderId="59" xfId="0" applyFont="1" applyFill="1" applyBorder="1" applyProtection="1"/>
    <xf numFmtId="0" fontId="0" fillId="10" borderId="60" xfId="0" applyFill="1" applyBorder="1" applyProtection="1"/>
    <xf numFmtId="0" fontId="23" fillId="10" borderId="99" xfId="0" applyFont="1" applyFill="1" applyBorder="1" applyProtection="1"/>
    <xf numFmtId="0" fontId="23" fillId="10" borderId="60" xfId="0" applyFont="1" applyFill="1" applyBorder="1" applyProtection="1"/>
    <xf numFmtId="0" fontId="0" fillId="0" borderId="61" xfId="0" applyBorder="1" applyProtection="1"/>
    <xf numFmtId="0" fontId="0" fillId="0" borderId="5" xfId="0" applyBorder="1" applyProtection="1"/>
    <xf numFmtId="0" fontId="0" fillId="0" borderId="75" xfId="0" applyFill="1" applyBorder="1" applyProtection="1"/>
    <xf numFmtId="0" fontId="0" fillId="0" borderId="56" xfId="0" applyBorder="1" applyProtection="1"/>
    <xf numFmtId="0" fontId="0" fillId="0" borderId="2" xfId="0" applyBorder="1" applyProtection="1"/>
    <xf numFmtId="0" fontId="0" fillId="0" borderId="4" xfId="0" applyBorder="1" applyProtection="1"/>
    <xf numFmtId="0" fontId="0" fillId="0" borderId="69" xfId="0" applyBorder="1" applyProtection="1"/>
    <xf numFmtId="0" fontId="0" fillId="0" borderId="76" xfId="0" applyBorder="1" applyProtection="1"/>
    <xf numFmtId="10" fontId="0" fillId="12" borderId="0" xfId="0" applyNumberFormat="1" applyFill="1" applyProtection="1"/>
    <xf numFmtId="0" fontId="26" fillId="12" borderId="2" xfId="0" applyFont="1" applyFill="1" applyBorder="1" applyAlignment="1" applyProtection="1">
      <alignment horizontal="center" vertical="center"/>
    </xf>
    <xf numFmtId="1" fontId="0" fillId="12" borderId="53" xfId="0" applyNumberFormat="1" applyFill="1" applyBorder="1" applyAlignment="1" applyProtection="1">
      <alignment horizontal="right"/>
    </xf>
    <xf numFmtId="0" fontId="0" fillId="0" borderId="53" xfId="0" applyFill="1" applyBorder="1" applyAlignment="1" applyProtection="1">
      <alignment horizontal="right"/>
    </xf>
    <xf numFmtId="0" fontId="0" fillId="0" borderId="54" xfId="0" applyFill="1" applyBorder="1" applyAlignment="1" applyProtection="1">
      <alignment horizontal="right"/>
    </xf>
    <xf numFmtId="1" fontId="0" fillId="0" borderId="4" xfId="0" applyNumberFormat="1" applyFill="1" applyBorder="1" applyAlignment="1" applyProtection="1">
      <alignment horizontal="right"/>
    </xf>
    <xf numFmtId="0" fontId="0" fillId="0" borderId="54" xfId="0" applyBorder="1" applyProtection="1"/>
    <xf numFmtId="0" fontId="0" fillId="0" borderId="55" xfId="0" applyBorder="1" applyProtection="1"/>
    <xf numFmtId="0" fontId="0" fillId="12" borderId="2" xfId="0" applyFill="1" applyBorder="1" applyProtection="1"/>
    <xf numFmtId="0" fontId="0" fillId="12" borderId="57" xfId="0" applyFill="1" applyBorder="1" applyProtection="1"/>
    <xf numFmtId="1" fontId="0" fillId="12" borderId="2" xfId="0" applyNumberFormat="1" applyFill="1" applyBorder="1" applyAlignment="1" applyProtection="1">
      <alignment horizontal="right"/>
    </xf>
    <xf numFmtId="0" fontId="0" fillId="0" borderId="56" xfId="0" applyFill="1" applyBorder="1" applyAlignment="1" applyProtection="1">
      <alignment horizontal="right"/>
    </xf>
    <xf numFmtId="0" fontId="0" fillId="0" borderId="2" xfId="0" applyFill="1" applyBorder="1" applyAlignment="1" applyProtection="1">
      <alignment horizontal="right"/>
    </xf>
    <xf numFmtId="1" fontId="0" fillId="0" borderId="4" xfId="0" applyNumberFormat="1" applyFill="1" applyBorder="1" applyProtection="1"/>
    <xf numFmtId="0" fontId="0" fillId="0" borderId="57" xfId="0" applyBorder="1" applyProtection="1"/>
    <xf numFmtId="1" fontId="0" fillId="12" borderId="57" xfId="0" applyNumberFormat="1" applyFill="1" applyBorder="1" applyAlignment="1" applyProtection="1">
      <alignment horizontal="right"/>
    </xf>
    <xf numFmtId="0" fontId="0" fillId="0" borderId="4" xfId="0" applyFill="1" applyBorder="1" applyAlignment="1" applyProtection="1">
      <alignment horizontal="right"/>
    </xf>
    <xf numFmtId="0" fontId="0" fillId="0" borderId="56" xfId="0" applyFill="1" applyBorder="1" applyProtection="1"/>
    <xf numFmtId="0" fontId="0" fillId="0" borderId="2" xfId="0" applyFill="1" applyBorder="1" applyProtection="1"/>
    <xf numFmtId="0" fontId="0" fillId="0" borderId="4" xfId="0" applyFill="1" applyBorder="1" applyProtection="1"/>
    <xf numFmtId="10" fontId="0" fillId="0" borderId="2" xfId="0" applyNumberFormat="1" applyFill="1" applyBorder="1" applyProtection="1"/>
    <xf numFmtId="0" fontId="0" fillId="0" borderId="66" xfId="0" applyBorder="1" applyProtection="1"/>
    <xf numFmtId="0" fontId="0" fillId="0" borderId="3" xfId="0" applyBorder="1" applyProtection="1"/>
    <xf numFmtId="0" fontId="0" fillId="0" borderId="58" xfId="0" applyFill="1" applyBorder="1" applyProtection="1"/>
    <xf numFmtId="10" fontId="0" fillId="0" borderId="59" xfId="0" applyNumberFormat="1" applyFill="1" applyBorder="1" applyProtection="1"/>
    <xf numFmtId="0" fontId="0" fillId="0" borderId="59" xfId="0" applyFill="1" applyBorder="1" applyProtection="1"/>
    <xf numFmtId="0" fontId="0" fillId="0" borderId="78" xfId="0" applyFill="1" applyBorder="1" applyProtection="1"/>
    <xf numFmtId="0" fontId="0" fillId="0" borderId="58" xfId="0" applyFill="1" applyBorder="1" applyAlignment="1" applyProtection="1">
      <alignment horizontal="right"/>
    </xf>
    <xf numFmtId="0" fontId="0" fillId="0" borderId="59" xfId="0" applyBorder="1" applyProtection="1"/>
    <xf numFmtId="0" fontId="0" fillId="0" borderId="60" xfId="0" applyBorder="1" applyProtection="1"/>
    <xf numFmtId="0" fontId="32" fillId="13" borderId="63" xfId="0" applyFont="1" applyFill="1" applyBorder="1" applyProtection="1"/>
    <xf numFmtId="0" fontId="32" fillId="13" borderId="64" xfId="0" applyFont="1" applyFill="1" applyBorder="1" applyProtection="1"/>
    <xf numFmtId="0" fontId="32" fillId="13" borderId="72" xfId="0" applyFont="1" applyFill="1" applyBorder="1" applyProtection="1"/>
    <xf numFmtId="0" fontId="0" fillId="13" borderId="58" xfId="0" applyFill="1" applyBorder="1" applyProtection="1"/>
    <xf numFmtId="0" fontId="0" fillId="13" borderId="59" xfId="0" applyFill="1" applyBorder="1" applyProtection="1"/>
    <xf numFmtId="0" fontId="0" fillId="13" borderId="78" xfId="0" applyFill="1" applyBorder="1" applyProtection="1"/>
    <xf numFmtId="0" fontId="0" fillId="13" borderId="70" xfId="0" applyFill="1" applyBorder="1" applyProtection="1"/>
    <xf numFmtId="10" fontId="0" fillId="13" borderId="0" xfId="0" applyNumberFormat="1" applyFill="1" applyProtection="1"/>
    <xf numFmtId="10" fontId="0" fillId="0" borderId="0" xfId="0" applyNumberFormat="1" applyFill="1" applyProtection="1"/>
    <xf numFmtId="0" fontId="0" fillId="9" borderId="53" xfId="0" applyFill="1" applyBorder="1" applyProtection="1"/>
    <xf numFmtId="0" fontId="0" fillId="9" borderId="54" xfId="0" applyFill="1" applyBorder="1" applyProtection="1"/>
    <xf numFmtId="0" fontId="0" fillId="0" borderId="71" xfId="0" applyFill="1" applyBorder="1" applyProtection="1"/>
    <xf numFmtId="0" fontId="0" fillId="0" borderId="71" xfId="0" applyBorder="1" applyProtection="1"/>
    <xf numFmtId="0" fontId="26" fillId="12" borderId="7" xfId="0" applyFont="1" applyFill="1" applyBorder="1" applyAlignment="1" applyProtection="1">
      <alignment horizontal="center" vertical="center"/>
    </xf>
    <xf numFmtId="0" fontId="0" fillId="12" borderId="53" xfId="0" applyFill="1" applyBorder="1" applyProtection="1"/>
    <xf numFmtId="0" fontId="0" fillId="12" borderId="54" xfId="0" applyFill="1" applyBorder="1" applyProtection="1"/>
    <xf numFmtId="0" fontId="0" fillId="12" borderId="55" xfId="0" applyFill="1" applyBorder="1" applyProtection="1"/>
    <xf numFmtId="0" fontId="0" fillId="0" borderId="53" xfId="0" applyFill="1" applyBorder="1" applyProtection="1"/>
    <xf numFmtId="0" fontId="0" fillId="0" borderId="54" xfId="0" applyFill="1" applyBorder="1" applyProtection="1"/>
    <xf numFmtId="0" fontId="0" fillId="0" borderId="77" xfId="0" applyFill="1" applyBorder="1" applyProtection="1"/>
    <xf numFmtId="0" fontId="0" fillId="0" borderId="69" xfId="0" applyFill="1" applyBorder="1" applyProtection="1"/>
    <xf numFmtId="0" fontId="0" fillId="8" borderId="56" xfId="0" applyFill="1" applyBorder="1" applyProtection="1"/>
    <xf numFmtId="0" fontId="42" fillId="0" borderId="0" xfId="0" applyFont="1" applyProtection="1"/>
    <xf numFmtId="0" fontId="0" fillId="0" borderId="59" xfId="0" applyFill="1" applyBorder="1" applyAlignment="1" applyProtection="1">
      <alignment horizontal="right"/>
    </xf>
    <xf numFmtId="0" fontId="0" fillId="0" borderId="78" xfId="0" applyFill="1" applyBorder="1" applyAlignment="1" applyProtection="1">
      <alignment horizontal="right"/>
    </xf>
    <xf numFmtId="0" fontId="32" fillId="13" borderId="52" xfId="0" applyFont="1" applyFill="1" applyBorder="1" applyProtection="1"/>
    <xf numFmtId="0" fontId="0" fillId="8" borderId="52" xfId="0" applyFill="1" applyBorder="1" applyProtection="1"/>
    <xf numFmtId="0" fontId="0" fillId="0" borderId="77" xfId="0" applyFill="1" applyBorder="1" applyAlignment="1" applyProtection="1">
      <alignment horizontal="right"/>
    </xf>
    <xf numFmtId="0" fontId="0" fillId="0" borderId="58" xfId="0" applyBorder="1" applyProtection="1"/>
    <xf numFmtId="0" fontId="0" fillId="8" borderId="2" xfId="0" applyFill="1" applyBorder="1" applyProtection="1"/>
    <xf numFmtId="0" fontId="0" fillId="0" borderId="85" xfId="0" applyBorder="1" applyProtection="1"/>
    <xf numFmtId="0" fontId="0" fillId="12" borderId="15" xfId="0" applyFill="1" applyBorder="1" applyProtection="1"/>
    <xf numFmtId="0" fontId="0" fillId="12" borderId="86" xfId="0" applyFill="1" applyBorder="1" applyProtection="1"/>
    <xf numFmtId="10" fontId="0" fillId="11" borderId="0" xfId="0" applyNumberFormat="1" applyFill="1" applyProtection="1"/>
    <xf numFmtId="0" fontId="0" fillId="0" borderId="0" xfId="0" applyFill="1" applyAlignment="1" applyProtection="1">
      <alignment horizontal="right"/>
    </xf>
    <xf numFmtId="0" fontId="0" fillId="0" borderId="0" xfId="0" applyFill="1" applyBorder="1" applyAlignment="1" applyProtection="1">
      <alignment horizontal="right"/>
    </xf>
    <xf numFmtId="0" fontId="0" fillId="9" borderId="68" xfId="0" applyFill="1" applyBorder="1" applyProtection="1"/>
    <xf numFmtId="0" fontId="0" fillId="9" borderId="79" xfId="0" applyFill="1" applyBorder="1" applyProtection="1"/>
    <xf numFmtId="0" fontId="0" fillId="0" borderId="7" xfId="0" applyBorder="1" applyProtection="1"/>
    <xf numFmtId="10" fontId="0" fillId="12" borderId="0" xfId="0" applyNumberFormat="1" applyFill="1" applyAlignment="1" applyProtection="1">
      <alignment horizontal="center"/>
    </xf>
    <xf numFmtId="0" fontId="0" fillId="0" borderId="70" xfId="0" applyBorder="1" applyProtection="1"/>
    <xf numFmtId="0" fontId="0" fillId="0" borderId="0" xfId="0" applyFill="1" applyBorder="1" applyProtection="1"/>
    <xf numFmtId="0" fontId="0" fillId="8" borderId="79" xfId="0" applyFill="1" applyBorder="1" applyProtection="1"/>
    <xf numFmtId="0" fontId="0" fillId="0" borderId="21" xfId="0" applyBorder="1" applyProtection="1"/>
    <xf numFmtId="9" fontId="0" fillId="0" borderId="22" xfId="0" applyNumberFormat="1" applyBorder="1" applyProtection="1"/>
    <xf numFmtId="0" fontId="0" fillId="0" borderId="22" xfId="0" applyBorder="1" applyProtection="1"/>
    <xf numFmtId="0" fontId="0" fillId="0" borderId="23" xfId="0" applyBorder="1" applyProtection="1"/>
    <xf numFmtId="0" fontId="0" fillId="0" borderId="16" xfId="0" applyBorder="1" applyProtection="1"/>
    <xf numFmtId="9" fontId="0" fillId="0" borderId="0" xfId="0" applyNumberFormat="1" applyBorder="1" applyProtection="1"/>
    <xf numFmtId="0" fontId="0" fillId="0" borderId="17" xfId="0" applyBorder="1" applyProtection="1"/>
    <xf numFmtId="0" fontId="23" fillId="10" borderId="0" xfId="0" applyFont="1" applyFill="1" applyProtection="1"/>
    <xf numFmtId="0" fontId="0" fillId="0" borderId="72" xfId="0" applyFont="1" applyBorder="1" applyProtection="1"/>
    <xf numFmtId="0" fontId="0" fillId="0" borderId="73" xfId="0" applyFont="1" applyBorder="1" applyProtection="1"/>
    <xf numFmtId="0" fontId="0" fillId="0" borderId="74" xfId="0" applyFont="1" applyBorder="1" applyProtection="1"/>
    <xf numFmtId="0" fontId="0" fillId="0" borderId="52" xfId="0" applyBorder="1" applyProtection="1"/>
    <xf numFmtId="0" fontId="0" fillId="0" borderId="18" xfId="0" applyBorder="1" applyProtection="1"/>
    <xf numFmtId="9" fontId="0" fillId="0" borderId="19" xfId="0" applyNumberFormat="1" applyBorder="1" applyProtection="1"/>
    <xf numFmtId="0" fontId="0" fillId="0" borderId="19" xfId="0" applyBorder="1" applyProtection="1"/>
    <xf numFmtId="0" fontId="0" fillId="0" borderId="20" xfId="0" applyBorder="1" applyProtection="1"/>
    <xf numFmtId="0" fontId="0" fillId="10" borderId="0" xfId="0" applyFill="1" applyProtection="1"/>
    <xf numFmtId="0" fontId="0" fillId="2" borderId="0" xfId="0" applyFill="1" applyProtection="1">
      <protection locked="0" hidden="1"/>
    </xf>
    <xf numFmtId="0" fontId="0" fillId="2" borderId="0" xfId="0" applyFill="1" applyAlignment="1" applyProtection="1">
      <alignment wrapText="1"/>
      <protection locked="0" hidden="1"/>
    </xf>
    <xf numFmtId="0" fontId="12" fillId="2" borderId="0" xfId="0" applyFont="1" applyFill="1" applyAlignment="1" applyProtection="1">
      <alignment horizontal="center" wrapText="1"/>
      <protection locked="0" hidden="1"/>
    </xf>
    <xf numFmtId="0" fontId="5" fillId="16" borderId="0" xfId="0" applyFont="1" applyFill="1" applyAlignment="1" applyProtection="1">
      <alignment vertical="top" wrapText="1"/>
      <protection hidden="1"/>
    </xf>
    <xf numFmtId="0" fontId="5" fillId="15" borderId="0" xfId="0" applyFont="1" applyFill="1" applyAlignment="1" applyProtection="1">
      <alignment vertical="top" wrapText="1"/>
      <protection hidden="1"/>
    </xf>
    <xf numFmtId="0" fontId="5" fillId="14" borderId="0" xfId="0" applyFont="1" applyFill="1" applyAlignment="1" applyProtection="1">
      <alignment vertical="top" wrapText="1"/>
      <protection hidden="1"/>
    </xf>
    <xf numFmtId="0" fontId="19" fillId="3" borderId="1" xfId="0" applyFont="1" applyFill="1" applyBorder="1" applyAlignment="1" applyProtection="1">
      <alignment vertical="top"/>
    </xf>
    <xf numFmtId="0" fontId="19" fillId="3" borderId="1" xfId="0" applyFont="1" applyFill="1" applyBorder="1" applyAlignment="1" applyProtection="1">
      <alignment vertical="top" wrapText="1"/>
    </xf>
    <xf numFmtId="0" fontId="29" fillId="2" borderId="111" xfId="0" applyFont="1" applyFill="1" applyBorder="1" applyAlignment="1" applyProtection="1">
      <alignment vertical="top" wrapText="1"/>
    </xf>
    <xf numFmtId="0" fontId="29" fillId="2" borderId="112" xfId="0" applyFont="1" applyFill="1" applyBorder="1" applyAlignment="1" applyProtection="1">
      <alignment horizontal="left" wrapText="1"/>
    </xf>
    <xf numFmtId="0" fontId="0" fillId="4" borderId="0" xfId="0" applyFill="1" applyAlignment="1" applyProtection="1">
      <alignment wrapText="1"/>
    </xf>
    <xf numFmtId="164" fontId="9" fillId="5" borderId="26" xfId="2" applyNumberFormat="1" applyFont="1" applyFill="1" applyBorder="1" applyAlignment="1" applyProtection="1">
      <alignment horizontal="left" vertical="center"/>
    </xf>
    <xf numFmtId="0" fontId="39" fillId="2" borderId="0" xfId="0" applyFont="1" applyFill="1" applyBorder="1" applyAlignment="1" applyProtection="1">
      <alignment horizontal="left" vertical="center"/>
      <protection hidden="1"/>
    </xf>
    <xf numFmtId="0" fontId="9" fillId="4" borderId="0" xfId="0" applyFont="1" applyFill="1" applyAlignment="1" applyProtection="1">
      <alignment horizontal="left" vertical="top" wrapText="1"/>
    </xf>
    <xf numFmtId="0" fontId="23" fillId="6" borderId="0" xfId="0" applyFont="1" applyFill="1" applyBorder="1" applyAlignment="1" applyProtection="1">
      <alignment horizontal="right"/>
      <protection hidden="1"/>
    </xf>
    <xf numFmtId="0" fontId="26" fillId="5" borderId="93" xfId="0" applyFont="1" applyFill="1" applyBorder="1" applyAlignment="1" applyProtection="1">
      <alignment horizontal="right" vertical="center"/>
      <protection hidden="1"/>
    </xf>
    <xf numFmtId="0" fontId="0" fillId="4" borderId="0" xfId="0" applyFill="1" applyBorder="1" applyAlignment="1" applyProtection="1">
      <alignment wrapText="1"/>
    </xf>
    <xf numFmtId="0" fontId="0" fillId="2" borderId="0" xfId="0" applyFill="1" applyBorder="1" applyAlignment="1" applyProtection="1">
      <alignment horizontal="right"/>
      <protection hidden="1"/>
    </xf>
    <xf numFmtId="0" fontId="0" fillId="2" borderId="0" xfId="0" applyFill="1" applyBorder="1" applyAlignment="1" applyProtection="1">
      <alignment wrapText="1"/>
      <protection hidden="1"/>
    </xf>
    <xf numFmtId="0" fontId="0" fillId="2" borderId="0" xfId="0" applyFill="1" applyBorder="1" applyAlignment="1" applyProtection="1">
      <alignment horizontal="left" wrapText="1"/>
      <protection hidden="1"/>
    </xf>
    <xf numFmtId="0" fontId="26" fillId="4" borderId="6" xfId="0" applyFont="1" applyFill="1" applyBorder="1" applyAlignment="1" applyProtection="1">
      <alignment horizontal="left" vertical="center"/>
      <protection locked="0"/>
    </xf>
    <xf numFmtId="0" fontId="26" fillId="5" borderId="93" xfId="0" applyFont="1" applyFill="1" applyBorder="1" applyAlignment="1" applyProtection="1">
      <alignment horizontal="center" vertical="center"/>
      <protection locked="0"/>
    </xf>
    <xf numFmtId="0" fontId="29" fillId="2" borderId="1" xfId="0" applyFont="1" applyFill="1" applyBorder="1" applyAlignment="1" applyProtection="1">
      <alignment vertical="top" wrapText="1"/>
    </xf>
    <xf numFmtId="0" fontId="29" fillId="2" borderId="112" xfId="0" applyFont="1" applyFill="1" applyBorder="1" applyAlignment="1" applyProtection="1">
      <alignment horizontal="center" vertical="top" wrapText="1"/>
    </xf>
    <xf numFmtId="0" fontId="48" fillId="4" borderId="1" xfId="0" applyFont="1" applyFill="1" applyBorder="1" applyAlignment="1" applyProtection="1">
      <alignment horizontal="left"/>
    </xf>
    <xf numFmtId="0" fontId="46" fillId="4" borderId="0" xfId="0" applyFont="1" applyFill="1" applyAlignment="1" applyProtection="1">
      <alignment horizontal="left"/>
      <protection hidden="1"/>
    </xf>
    <xf numFmtId="0" fontId="24" fillId="0" borderId="2" xfId="0" applyFont="1" applyBorder="1" applyProtection="1"/>
    <xf numFmtId="0" fontId="24" fillId="0" borderId="5" xfId="0" applyFont="1" applyBorder="1" applyProtection="1"/>
    <xf numFmtId="0" fontId="24" fillId="0" borderId="2" xfId="0" applyFont="1" applyFill="1" applyBorder="1" applyProtection="1"/>
    <xf numFmtId="1" fontId="0" fillId="12" borderId="54" xfId="0" applyNumberFormat="1" applyFill="1" applyBorder="1" applyAlignment="1" applyProtection="1">
      <alignment horizontal="right"/>
    </xf>
    <xf numFmtId="1" fontId="0" fillId="12" borderId="56" xfId="0" applyNumberFormat="1" applyFill="1" applyBorder="1" applyAlignment="1" applyProtection="1">
      <alignment horizontal="right"/>
    </xf>
    <xf numFmtId="1" fontId="0" fillId="12" borderId="56" xfId="0" applyNumberFormat="1" applyFill="1" applyBorder="1" applyProtection="1"/>
    <xf numFmtId="1" fontId="0" fillId="12" borderId="2" xfId="0" applyNumberFormat="1" applyFill="1" applyBorder="1" applyProtection="1"/>
    <xf numFmtId="1" fontId="0" fillId="12" borderId="57" xfId="0" applyNumberFormat="1" applyFill="1" applyBorder="1" applyProtection="1"/>
    <xf numFmtId="1" fontId="0" fillId="12" borderId="58" xfId="0" applyNumberFormat="1" applyFill="1" applyBorder="1" applyProtection="1"/>
    <xf numFmtId="1" fontId="0" fillId="12" borderId="59" xfId="0" applyNumberFormat="1" applyFill="1" applyBorder="1" applyProtection="1"/>
    <xf numFmtId="1" fontId="0" fillId="12" borderId="60" xfId="0" applyNumberFormat="1" applyFill="1" applyBorder="1" applyProtection="1"/>
    <xf numFmtId="1" fontId="0" fillId="12" borderId="53" xfId="0" applyNumberFormat="1" applyFill="1" applyBorder="1" applyProtection="1"/>
    <xf numFmtId="1" fontId="0" fillId="12" borderId="54" xfId="0" applyNumberFormat="1" applyFill="1" applyBorder="1" applyProtection="1"/>
    <xf numFmtId="1" fontId="0" fillId="12" borderId="55" xfId="0" applyNumberFormat="1" applyFill="1" applyBorder="1" applyProtection="1"/>
    <xf numFmtId="1" fontId="0" fillId="12" borderId="58" xfId="0" applyNumberFormat="1" applyFill="1" applyBorder="1" applyAlignment="1" applyProtection="1">
      <alignment horizontal="right"/>
    </xf>
    <xf numFmtId="1" fontId="0" fillId="12" borderId="59" xfId="0" applyNumberFormat="1" applyFill="1" applyBorder="1" applyAlignment="1" applyProtection="1">
      <alignment horizontal="right"/>
    </xf>
    <xf numFmtId="1" fontId="0" fillId="12" borderId="60" xfId="0" applyNumberFormat="1" applyFill="1" applyBorder="1" applyAlignment="1" applyProtection="1">
      <alignment horizontal="right"/>
    </xf>
    <xf numFmtId="1" fontId="24" fillId="12" borderId="2" xfId="0" applyNumberFormat="1" applyFont="1" applyFill="1" applyBorder="1" applyAlignment="1" applyProtection="1">
      <alignment horizontal="right"/>
    </xf>
    <xf numFmtId="1" fontId="24" fillId="12" borderId="56" xfId="0" applyNumberFormat="1" applyFont="1" applyFill="1" applyBorder="1" applyProtection="1"/>
    <xf numFmtId="1" fontId="24" fillId="12" borderId="2" xfId="0" applyNumberFormat="1" applyFont="1" applyFill="1" applyBorder="1" applyProtection="1"/>
    <xf numFmtId="1" fontId="24" fillId="12" borderId="57" xfId="0" applyNumberFormat="1" applyFont="1" applyFill="1" applyBorder="1" applyProtection="1"/>
    <xf numFmtId="1" fontId="24" fillId="12" borderId="54" xfId="0" applyNumberFormat="1" applyFont="1" applyFill="1" applyBorder="1" applyProtection="1"/>
    <xf numFmtId="0" fontId="0" fillId="12" borderId="116" xfId="0" applyFill="1" applyBorder="1" applyProtection="1"/>
    <xf numFmtId="0" fontId="0" fillId="12" borderId="84" xfId="0" applyFill="1" applyBorder="1" applyProtection="1"/>
    <xf numFmtId="0" fontId="0" fillId="12" borderId="117" xfId="0" applyFill="1" applyBorder="1" applyProtection="1"/>
    <xf numFmtId="0" fontId="0" fillId="12" borderId="56" xfId="0" applyFill="1" applyBorder="1" applyProtection="1"/>
    <xf numFmtId="0" fontId="0" fillId="0" borderId="53" xfId="0" applyBorder="1" applyProtection="1"/>
    <xf numFmtId="0" fontId="0" fillId="0" borderId="15" xfId="0" applyBorder="1" applyProtection="1"/>
    <xf numFmtId="0" fontId="23" fillId="6" borderId="45" xfId="0" applyFont="1" applyFill="1" applyBorder="1" applyAlignment="1" applyProtection="1">
      <alignment vertical="center"/>
    </xf>
    <xf numFmtId="0" fontId="23" fillId="6" borderId="45" xfId="0" applyFont="1" applyFill="1" applyBorder="1" applyAlignment="1" applyProtection="1">
      <alignment vertical="center"/>
      <protection locked="0"/>
    </xf>
    <xf numFmtId="0" fontId="23" fillId="6" borderId="48" xfId="0" applyFont="1" applyFill="1" applyBorder="1" applyAlignment="1" applyProtection="1">
      <alignment horizontal="left" vertical="center"/>
      <protection locked="0"/>
    </xf>
    <xf numFmtId="0" fontId="0" fillId="5" borderId="24" xfId="0" applyFont="1" applyFill="1" applyBorder="1" applyAlignment="1" applyProtection="1">
      <alignment horizontal="left" vertical="center"/>
    </xf>
    <xf numFmtId="0" fontId="0" fillId="4" borderId="0" xfId="0" applyFill="1" applyAlignment="1" applyProtection="1">
      <alignment vertical="center" wrapText="1"/>
      <protection locked="0"/>
    </xf>
    <xf numFmtId="0" fontId="32" fillId="5" borderId="88" xfId="0" applyFont="1"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0" xfId="0" applyFill="1" applyBorder="1" applyAlignment="1" applyProtection="1">
      <alignment vertical="center"/>
    </xf>
    <xf numFmtId="0" fontId="0" fillId="2" borderId="0" xfId="0" applyFill="1" applyBorder="1" applyAlignment="1" applyProtection="1">
      <alignment vertical="center"/>
      <protection locked="0"/>
    </xf>
    <xf numFmtId="0" fontId="0" fillId="2" borderId="0" xfId="0" applyFill="1" applyBorder="1" applyAlignment="1" applyProtection="1">
      <alignment horizontal="left" vertical="center" wrapText="1"/>
      <protection locked="0"/>
    </xf>
    <xf numFmtId="0" fontId="0" fillId="2" borderId="0" xfId="0" applyFill="1" applyBorder="1" applyAlignment="1" applyProtection="1">
      <alignment vertical="center" wrapText="1"/>
      <protection locked="0"/>
    </xf>
    <xf numFmtId="0" fontId="0" fillId="4" borderId="0" xfId="0" applyFill="1" applyBorder="1" applyAlignment="1" applyProtection="1">
      <alignment vertical="center" wrapText="1"/>
      <protection locked="0"/>
    </xf>
    <xf numFmtId="0" fontId="28" fillId="6" borderId="0" xfId="0" applyFont="1" applyFill="1" applyBorder="1" applyAlignment="1" applyProtection="1">
      <alignment horizontal="left" vertical="center"/>
    </xf>
    <xf numFmtId="0" fontId="23" fillId="6" borderId="45" xfId="0" applyFont="1" applyFill="1" applyBorder="1" applyAlignment="1" applyProtection="1">
      <alignment horizontal="left" vertical="center" wrapText="1"/>
      <protection locked="0"/>
    </xf>
    <xf numFmtId="0" fontId="23" fillId="6" borderId="39" xfId="0" applyFont="1" applyFill="1" applyBorder="1" applyAlignment="1" applyProtection="1">
      <alignment vertical="center"/>
      <protection locked="0"/>
    </xf>
    <xf numFmtId="0" fontId="23" fillId="6" borderId="48" xfId="0" applyFont="1" applyFill="1" applyBorder="1" applyAlignment="1" applyProtection="1">
      <alignment horizontal="left" vertical="center" wrapText="1"/>
      <protection locked="0"/>
    </xf>
    <xf numFmtId="0" fontId="23" fillId="6" borderId="1" xfId="0" applyFont="1" applyFill="1" applyBorder="1" applyAlignment="1" applyProtection="1">
      <alignment horizontal="left" vertical="center" wrapText="1"/>
      <protection locked="0"/>
    </xf>
    <xf numFmtId="0" fontId="23" fillId="6" borderId="1" xfId="0" applyFont="1" applyFill="1" applyBorder="1" applyAlignment="1" applyProtection="1">
      <alignment vertical="center" wrapText="1"/>
      <protection locked="0"/>
    </xf>
    <xf numFmtId="0" fontId="23" fillId="6" borderId="51" xfId="0" applyFont="1" applyFill="1" applyBorder="1" applyAlignment="1" applyProtection="1">
      <alignment vertical="center" wrapText="1"/>
      <protection locked="0"/>
    </xf>
    <xf numFmtId="0" fontId="0" fillId="2" borderId="0" xfId="0" applyFill="1" applyBorder="1" applyAlignment="1" applyProtection="1">
      <alignment horizontal="left" vertical="center" wrapText="1"/>
    </xf>
    <xf numFmtId="0" fontId="28" fillId="6" borderId="0" xfId="0" applyFont="1" applyFill="1" applyBorder="1" applyAlignment="1" applyProtection="1">
      <alignment horizontal="left" vertical="center" wrapText="1"/>
    </xf>
    <xf numFmtId="164" fontId="23" fillId="6" borderId="45" xfId="0" applyNumberFormat="1" applyFont="1" applyFill="1" applyBorder="1" applyAlignment="1" applyProtection="1">
      <alignment vertical="center"/>
    </xf>
    <xf numFmtId="0" fontId="23" fillId="6" borderId="49" xfId="0" applyFont="1" applyFill="1" applyBorder="1" applyAlignment="1" applyProtection="1">
      <alignment horizontal="left" vertical="center" wrapText="1"/>
      <protection locked="0"/>
    </xf>
    <xf numFmtId="0" fontId="23" fillId="6" borderId="45" xfId="0" applyFont="1" applyFill="1" applyBorder="1" applyAlignment="1" applyProtection="1">
      <alignment vertical="center" wrapText="1"/>
      <protection locked="0"/>
    </xf>
    <xf numFmtId="0" fontId="23" fillId="6" borderId="46" xfId="0" applyFont="1" applyFill="1" applyBorder="1" applyAlignment="1" applyProtection="1">
      <alignment vertical="center" wrapText="1"/>
      <protection locked="0"/>
    </xf>
    <xf numFmtId="0" fontId="0" fillId="5" borderId="24" xfId="0" applyFont="1" applyFill="1" applyBorder="1" applyAlignment="1" applyProtection="1">
      <alignment horizontal="left" vertical="center" wrapText="1"/>
    </xf>
    <xf numFmtId="0" fontId="32" fillId="5" borderId="88" xfId="0" applyFont="1" applyFill="1" applyBorder="1" applyAlignment="1" applyProtection="1">
      <alignment horizontal="left" vertical="center" wrapText="1"/>
    </xf>
    <xf numFmtId="0" fontId="0" fillId="0" borderId="2" xfId="0" applyFill="1" applyBorder="1" applyProtection="1">
      <protection hidden="1"/>
    </xf>
    <xf numFmtId="0" fontId="0" fillId="2" borderId="0" xfId="0" applyFill="1" applyBorder="1" applyAlignment="1" applyProtection="1">
      <alignment horizontal="left" vertical="center"/>
      <protection hidden="1"/>
    </xf>
    <xf numFmtId="0" fontId="26" fillId="4" borderId="74" xfId="0" applyFont="1" applyFill="1" applyBorder="1" applyAlignment="1" applyProtection="1">
      <alignment horizontal="center" vertical="center"/>
      <protection locked="0"/>
    </xf>
    <xf numFmtId="0" fontId="0" fillId="18" borderId="72" xfId="0" applyFill="1" applyBorder="1" applyProtection="1"/>
    <xf numFmtId="0" fontId="0" fillId="18" borderId="74" xfId="0" applyFill="1" applyBorder="1" applyProtection="1"/>
    <xf numFmtId="0" fontId="23" fillId="10" borderId="77" xfId="0" applyFont="1" applyFill="1" applyBorder="1" applyProtection="1"/>
    <xf numFmtId="0" fontId="0" fillId="0" borderId="0" xfId="0"/>
    <xf numFmtId="0" fontId="51" fillId="4" borderId="0" xfId="0" applyFont="1" applyFill="1" applyBorder="1" applyAlignment="1">
      <alignment horizontal="left" vertical="top" wrapText="1"/>
    </xf>
    <xf numFmtId="0" fontId="50" fillId="0" borderId="0" xfId="0" applyFont="1" applyBorder="1"/>
    <xf numFmtId="0" fontId="51" fillId="0" borderId="0" xfId="0" applyFont="1" applyBorder="1"/>
    <xf numFmtId="0" fontId="51"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49" fontId="54" fillId="0" borderId="123" xfId="0" applyNumberFormat="1" applyFont="1" applyBorder="1" applyProtection="1">
      <protection locked="0"/>
    </xf>
    <xf numFmtId="0" fontId="54" fillId="0" borderId="120" xfId="0" applyFont="1" applyBorder="1" applyAlignment="1" applyProtection="1">
      <alignment horizontal="left" vertical="center"/>
      <protection locked="0"/>
    </xf>
    <xf numFmtId="0" fontId="54" fillId="0" borderId="121" xfId="0" applyFont="1" applyBorder="1" applyAlignment="1" applyProtection="1">
      <alignment horizontal="left" vertical="center"/>
      <protection locked="0"/>
    </xf>
    <xf numFmtId="0" fontId="54" fillId="0" borderId="122" xfId="0" applyFont="1" applyBorder="1" applyAlignment="1" applyProtection="1">
      <alignment horizontal="left" vertical="center"/>
      <protection locked="0"/>
    </xf>
    <xf numFmtId="0" fontId="51" fillId="19" borderId="63" xfId="0" applyFont="1" applyFill="1" applyBorder="1" applyAlignment="1">
      <alignment horizontal="center" vertical="top" wrapText="1"/>
    </xf>
    <xf numFmtId="0" fontId="51" fillId="19" borderId="64" xfId="0" applyFont="1" applyFill="1" applyBorder="1" applyAlignment="1">
      <alignment horizontal="left" vertical="top" wrapText="1"/>
    </xf>
    <xf numFmtId="0" fontId="51" fillId="19" borderId="65" xfId="0" applyFont="1" applyFill="1" applyBorder="1" applyAlignment="1">
      <alignment horizontal="center" vertical="top" wrapText="1"/>
    </xf>
    <xf numFmtId="0" fontId="0" fillId="8" borderId="108" xfId="0" applyFill="1" applyBorder="1"/>
    <xf numFmtId="0" fontId="0" fillId="8" borderId="72" xfId="0" applyFill="1" applyBorder="1"/>
    <xf numFmtId="0" fontId="19" fillId="3" borderId="0" xfId="0" applyFont="1" applyFill="1" applyBorder="1" applyAlignment="1" applyProtection="1">
      <alignment vertical="top"/>
      <protection hidden="1"/>
    </xf>
    <xf numFmtId="0" fontId="0" fillId="0" borderId="0" xfId="0" applyAlignment="1">
      <alignment horizontal="center" vertical="center"/>
    </xf>
    <xf numFmtId="0" fontId="0" fillId="18" borderId="5" xfId="0" applyFill="1" applyBorder="1"/>
    <xf numFmtId="0" fontId="0" fillId="0" borderId="0" xfId="0"/>
    <xf numFmtId="0" fontId="50" fillId="0" borderId="0" xfId="0" applyFont="1" applyBorder="1"/>
    <xf numFmtId="0" fontId="54" fillId="0" borderId="123" xfId="0" applyFont="1" applyBorder="1" applyProtection="1">
      <protection locked="0"/>
    </xf>
    <xf numFmtId="0" fontId="26" fillId="4" borderId="2" xfId="0" applyFont="1" applyFill="1" applyBorder="1" applyAlignment="1" applyProtection="1">
      <alignment horizontal="left" vertical="center"/>
      <protection hidden="1"/>
    </xf>
    <xf numFmtId="0" fontId="56" fillId="2" borderId="1" xfId="0" applyFont="1" applyFill="1" applyBorder="1" applyAlignment="1" applyProtection="1">
      <alignment horizontal="left"/>
      <protection hidden="1"/>
    </xf>
    <xf numFmtId="0" fontId="1" fillId="5" borderId="2" xfId="0" applyFont="1" applyFill="1" applyBorder="1" applyAlignment="1" applyProtection="1">
      <alignment horizontal="left" vertical="center"/>
      <protection hidden="1"/>
    </xf>
    <xf numFmtId="0" fontId="35" fillId="4" borderId="4" xfId="0" applyFont="1" applyFill="1" applyBorder="1" applyAlignment="1" applyProtection="1">
      <alignment horizontal="left" vertical="center"/>
      <protection hidden="1"/>
    </xf>
    <xf numFmtId="0" fontId="35" fillId="4" borderId="6" xfId="0" applyFont="1" applyFill="1" applyBorder="1" applyAlignment="1" applyProtection="1">
      <alignment horizontal="left" vertical="center"/>
      <protection hidden="1"/>
    </xf>
    <xf numFmtId="0" fontId="35" fillId="4" borderId="7" xfId="0" applyFont="1" applyFill="1" applyBorder="1" applyAlignment="1" applyProtection="1">
      <alignment horizontal="left" vertical="center"/>
      <protection hidden="1"/>
    </xf>
    <xf numFmtId="0" fontId="1" fillId="5" borderId="4" xfId="0" applyFont="1" applyFill="1" applyBorder="1" applyAlignment="1" applyProtection="1">
      <alignment horizontal="left" vertical="center"/>
      <protection hidden="1"/>
    </xf>
    <xf numFmtId="0" fontId="1" fillId="5" borderId="7" xfId="0" applyFont="1" applyFill="1" applyBorder="1" applyAlignment="1" applyProtection="1">
      <alignment horizontal="left" vertical="center"/>
      <protection hidden="1"/>
    </xf>
    <xf numFmtId="164" fontId="9" fillId="5" borderId="4" xfId="2" applyNumberFormat="1" applyFont="1" applyFill="1" applyBorder="1" applyAlignment="1" applyProtection="1">
      <alignment horizontal="left" vertical="center"/>
      <protection hidden="1"/>
    </xf>
    <xf numFmtId="10" fontId="9" fillId="5" borderId="7" xfId="2" applyNumberFormat="1" applyFont="1" applyFill="1" applyBorder="1" applyAlignment="1" applyProtection="1">
      <alignment horizontal="left" vertical="center"/>
      <protection hidden="1"/>
    </xf>
    <xf numFmtId="0" fontId="1" fillId="5" borderId="7" xfId="0" applyFont="1" applyFill="1" applyBorder="1" applyAlignment="1" applyProtection="1">
      <alignment vertical="center"/>
      <protection hidden="1"/>
    </xf>
    <xf numFmtId="0" fontId="0" fillId="4" borderId="6" xfId="0" applyFill="1" applyBorder="1" applyAlignment="1" applyProtection="1">
      <alignment horizontal="center"/>
      <protection hidden="1"/>
    </xf>
    <xf numFmtId="0" fontId="26" fillId="5" borderId="94" xfId="0" applyFont="1" applyFill="1" applyBorder="1" applyAlignment="1" applyProtection="1">
      <alignment horizontal="left" vertical="center" wrapText="1"/>
      <protection locked="0"/>
    </xf>
    <xf numFmtId="0" fontId="37" fillId="5" borderId="129" xfId="0" applyFont="1" applyFill="1" applyBorder="1" applyAlignment="1" applyProtection="1">
      <alignment horizontal="center" vertical="center" wrapText="1"/>
      <protection locked="0"/>
    </xf>
    <xf numFmtId="0" fontId="19" fillId="4" borderId="0" xfId="0" applyFont="1" applyFill="1" applyBorder="1" applyAlignment="1" applyProtection="1">
      <alignment vertical="top"/>
      <protection hidden="1"/>
    </xf>
    <xf numFmtId="0" fontId="19" fillId="3" borderId="1" xfId="0" applyFont="1" applyFill="1" applyBorder="1" applyAlignment="1" applyProtection="1">
      <alignment vertical="top"/>
      <protection hidden="1"/>
    </xf>
    <xf numFmtId="0" fontId="0" fillId="4" borderId="0" xfId="0" applyFill="1" applyAlignment="1" applyProtection="1">
      <protection hidden="1"/>
    </xf>
    <xf numFmtId="0" fontId="0" fillId="2" borderId="0" xfId="0" applyFill="1" applyAlignment="1" applyProtection="1">
      <protection hidden="1"/>
    </xf>
    <xf numFmtId="0" fontId="23" fillId="2" borderId="0" xfId="0" applyFont="1" applyFill="1" applyAlignment="1" applyProtection="1">
      <protection hidden="1"/>
    </xf>
    <xf numFmtId="0" fontId="0" fillId="4" borderId="0" xfId="0" applyFill="1" applyBorder="1" applyAlignment="1" applyProtection="1">
      <protection hidden="1"/>
    </xf>
    <xf numFmtId="0" fontId="23" fillId="2" borderId="0" xfId="0" applyFont="1" applyFill="1" applyBorder="1" applyAlignment="1" applyProtection="1">
      <protection hidden="1"/>
    </xf>
    <xf numFmtId="0" fontId="11" fillId="2" borderId="14" xfId="0" applyFont="1" applyFill="1" applyBorder="1" applyAlignment="1" applyProtection="1">
      <protection hidden="1"/>
    </xf>
    <xf numFmtId="0" fontId="56" fillId="2" borderId="1" xfId="0" applyFont="1" applyFill="1" applyBorder="1" applyAlignment="1" applyProtection="1">
      <alignment horizontal="center"/>
      <protection hidden="1"/>
    </xf>
    <xf numFmtId="0" fontId="44" fillId="2" borderId="1" xfId="0" applyFont="1" applyFill="1" applyBorder="1" applyAlignment="1" applyProtection="1">
      <alignment horizontal="center"/>
      <protection hidden="1"/>
    </xf>
    <xf numFmtId="0" fontId="49" fillId="2" borderId="1" xfId="0" applyFont="1" applyFill="1" applyBorder="1" applyAlignment="1" applyProtection="1">
      <alignment horizontal="center"/>
      <protection hidden="1"/>
    </xf>
    <xf numFmtId="0" fontId="44" fillId="2" borderId="5" xfId="0" applyFont="1" applyFill="1" applyBorder="1" applyAlignment="1" applyProtection="1">
      <alignment horizontal="center"/>
      <protection hidden="1"/>
    </xf>
    <xf numFmtId="0" fontId="56" fillId="2" borderId="14" xfId="0" applyFont="1" applyFill="1" applyBorder="1" applyAlignment="1" applyProtection="1">
      <alignment horizontal="center"/>
      <protection hidden="1"/>
    </xf>
    <xf numFmtId="0" fontId="44" fillId="2" borderId="0" xfId="0" applyFont="1" applyFill="1" applyBorder="1" applyAlignment="1" applyProtection="1">
      <alignment horizontal="center"/>
      <protection hidden="1"/>
    </xf>
    <xf numFmtId="0" fontId="0" fillId="2" borderId="1" xfId="0" applyFill="1" applyBorder="1" applyAlignment="1" applyProtection="1">
      <protection hidden="1"/>
    </xf>
    <xf numFmtId="0" fontId="0" fillId="2" borderId="12" xfId="0" applyFont="1" applyFill="1" applyBorder="1" applyAlignment="1" applyProtection="1">
      <protection hidden="1"/>
    </xf>
    <xf numFmtId="0" fontId="0" fillId="4" borderId="15" xfId="0" applyFill="1" applyBorder="1" applyAlignment="1" applyProtection="1">
      <protection hidden="1"/>
    </xf>
    <xf numFmtId="0" fontId="0" fillId="2" borderId="0" xfId="0" applyFont="1" applyFill="1" applyAlignment="1" applyProtection="1">
      <protection hidden="1"/>
    </xf>
    <xf numFmtId="0" fontId="0" fillId="4" borderId="0" xfId="0" applyFont="1" applyFill="1" applyAlignment="1" applyProtection="1">
      <protection hidden="1"/>
    </xf>
    <xf numFmtId="0" fontId="1" fillId="4" borderId="0" xfId="0" applyFont="1" applyFill="1" applyAlignment="1" applyProtection="1">
      <protection hidden="1"/>
    </xf>
    <xf numFmtId="0" fontId="9" fillId="4" borderId="0" xfId="0" applyFont="1" applyFill="1" applyAlignment="1" applyProtection="1">
      <alignment horizontal="left" vertical="top"/>
      <protection hidden="1"/>
    </xf>
    <xf numFmtId="0" fontId="0" fillId="0" borderId="0" xfId="0" applyAlignment="1" applyProtection="1">
      <protection hidden="1"/>
    </xf>
    <xf numFmtId="0" fontId="0" fillId="2" borderId="0" xfId="0" applyFont="1" applyFill="1" applyBorder="1" applyAlignment="1" applyProtection="1">
      <protection hidden="1"/>
    </xf>
    <xf numFmtId="0" fontId="38" fillId="2" borderId="0" xfId="0" applyFont="1" applyFill="1" applyBorder="1" applyAlignment="1" applyProtection="1">
      <protection hidden="1"/>
    </xf>
    <xf numFmtId="0" fontId="0" fillId="4" borderId="0" xfId="0" applyFont="1" applyFill="1" applyBorder="1" applyAlignment="1" applyProtection="1">
      <protection hidden="1"/>
    </xf>
    <xf numFmtId="0" fontId="57" fillId="2" borderId="0" xfId="0" applyFont="1" applyFill="1" applyBorder="1" applyAlignment="1" applyProtection="1">
      <alignment horizontal="left"/>
      <protection hidden="1"/>
    </xf>
    <xf numFmtId="0" fontId="3" fillId="4" borderId="0" xfId="0" applyFont="1" applyFill="1" applyAlignment="1" applyProtection="1">
      <protection hidden="1"/>
    </xf>
    <xf numFmtId="0" fontId="23" fillId="5" borderId="14" xfId="0" applyFont="1" applyFill="1" applyBorder="1" applyAlignment="1" applyProtection="1">
      <alignment horizontal="left" vertical="center"/>
      <protection hidden="1"/>
    </xf>
    <xf numFmtId="0" fontId="15" fillId="4" borderId="0" xfId="0" applyFont="1" applyFill="1" applyAlignment="1" applyProtection="1">
      <protection hidden="1"/>
    </xf>
    <xf numFmtId="0" fontId="24" fillId="2" borderId="0" xfId="0" applyFont="1" applyFill="1" applyAlignment="1" applyProtection="1">
      <protection hidden="1"/>
    </xf>
    <xf numFmtId="0" fontId="0" fillId="2" borderId="0" xfId="0" applyFill="1" applyBorder="1" applyAlignment="1" applyProtection="1">
      <alignment horizontal="left" vertical="top"/>
      <protection hidden="1"/>
    </xf>
    <xf numFmtId="0" fontId="23" fillId="4" borderId="0" xfId="0" applyFont="1" applyFill="1" applyAlignment="1" applyProtection="1">
      <protection hidden="1"/>
    </xf>
    <xf numFmtId="0" fontId="12" fillId="2" borderId="0" xfId="0" applyFont="1" applyFill="1" applyAlignment="1" applyProtection="1">
      <alignment horizontal="center"/>
      <protection hidden="1"/>
    </xf>
    <xf numFmtId="0" fontId="17" fillId="2" borderId="0" xfId="0" applyFont="1" applyFill="1" applyAlignment="1" applyProtection="1">
      <alignment horizontal="left" vertical="top"/>
      <protection hidden="1"/>
    </xf>
    <xf numFmtId="0" fontId="14" fillId="2" borderId="0" xfId="0" applyFont="1" applyFill="1" applyAlignment="1" applyProtection="1">
      <alignment vertical="center" wrapText="1"/>
      <protection hidden="1"/>
    </xf>
    <xf numFmtId="0" fontId="58" fillId="2" borderId="0" xfId="0" applyFont="1" applyFill="1" applyProtection="1">
      <protection hidden="1"/>
    </xf>
    <xf numFmtId="0" fontId="58" fillId="4" borderId="0" xfId="0" applyFont="1" applyFill="1"/>
    <xf numFmtId="0" fontId="59" fillId="3" borderId="0" xfId="0" applyFont="1" applyFill="1" applyBorder="1" applyAlignment="1" applyProtection="1">
      <alignment horizontal="left" vertical="top"/>
      <protection hidden="1"/>
    </xf>
    <xf numFmtId="0" fontId="60" fillId="3" borderId="0" xfId="0" applyFont="1" applyFill="1" applyBorder="1" applyProtection="1">
      <protection hidden="1"/>
    </xf>
    <xf numFmtId="0" fontId="59" fillId="3" borderId="0" xfId="0" applyFont="1" applyFill="1" applyBorder="1" applyAlignment="1" applyProtection="1">
      <alignment vertical="top"/>
      <protection hidden="1"/>
    </xf>
    <xf numFmtId="0" fontId="61" fillId="2" borderId="0" xfId="0" applyFont="1" applyFill="1" applyAlignment="1" applyProtection="1">
      <alignment horizontal="left" vertical="center"/>
      <protection hidden="1"/>
    </xf>
    <xf numFmtId="0" fontId="62" fillId="2" borderId="0" xfId="0" applyFont="1" applyFill="1" applyAlignment="1" applyProtection="1">
      <alignment horizontal="right"/>
      <protection hidden="1"/>
    </xf>
    <xf numFmtId="0" fontId="63" fillId="4" borderId="1" xfId="0" applyFont="1" applyFill="1" applyBorder="1" applyAlignment="1" applyProtection="1">
      <alignment horizontal="left"/>
      <protection hidden="1"/>
    </xf>
    <xf numFmtId="0" fontId="64" fillId="2" borderId="1" xfId="0" applyFont="1" applyFill="1" applyBorder="1" applyProtection="1">
      <protection hidden="1"/>
    </xf>
    <xf numFmtId="0" fontId="65" fillId="2" borderId="1" xfId="0" applyFont="1" applyFill="1" applyBorder="1" applyProtection="1">
      <protection hidden="1"/>
    </xf>
    <xf numFmtId="0" fontId="66" fillId="3" borderId="6" xfId="0" applyFont="1" applyFill="1" applyBorder="1" applyProtection="1">
      <protection hidden="1"/>
    </xf>
    <xf numFmtId="0" fontId="67" fillId="3" borderId="6" xfId="0" applyFont="1" applyFill="1" applyBorder="1" applyAlignment="1" applyProtection="1">
      <alignment horizontal="right" vertical="center"/>
      <protection hidden="1"/>
    </xf>
    <xf numFmtId="0" fontId="65" fillId="5" borderId="6" xfId="0" applyFont="1" applyFill="1" applyBorder="1" applyAlignment="1" applyProtection="1">
      <alignment horizontal="left" vertical="center"/>
      <protection hidden="1"/>
    </xf>
    <xf numFmtId="0" fontId="58" fillId="5" borderId="6" xfId="0" applyFont="1" applyFill="1" applyBorder="1" applyProtection="1">
      <protection hidden="1"/>
    </xf>
    <xf numFmtId="0" fontId="58" fillId="5" borderId="7" xfId="0" applyFont="1" applyFill="1" applyBorder="1" applyProtection="1">
      <protection hidden="1"/>
    </xf>
    <xf numFmtId="0" fontId="58" fillId="4" borderId="0" xfId="0" applyFont="1" applyFill="1" applyProtection="1"/>
    <xf numFmtId="0" fontId="58" fillId="5" borderId="4" xfId="0" applyFont="1" applyFill="1" applyBorder="1" applyAlignment="1" applyProtection="1">
      <alignment horizontal="right"/>
      <protection hidden="1"/>
    </xf>
    <xf numFmtId="0" fontId="58" fillId="5" borderId="6" xfId="0" applyFont="1" applyFill="1" applyBorder="1" applyAlignment="1" applyProtection="1">
      <alignment horizontal="right"/>
      <protection hidden="1"/>
    </xf>
    <xf numFmtId="14" fontId="58" fillId="5" borderId="7" xfId="0" applyNumberFormat="1" applyFont="1" applyFill="1" applyBorder="1" applyAlignment="1" applyProtection="1">
      <alignment horizontal="left"/>
      <protection hidden="1"/>
    </xf>
    <xf numFmtId="0" fontId="66" fillId="4" borderId="0" xfId="0" applyFont="1" applyFill="1" applyBorder="1" applyProtection="1">
      <protection hidden="1"/>
    </xf>
    <xf numFmtId="0" fontId="67" fillId="4" borderId="0" xfId="0" applyFont="1" applyFill="1" applyBorder="1" applyAlignment="1" applyProtection="1">
      <alignment horizontal="right" vertical="center"/>
      <protection hidden="1"/>
    </xf>
    <xf numFmtId="0" fontId="58" fillId="4" borderId="0" xfId="0" applyFont="1" applyFill="1" applyProtection="1">
      <protection hidden="1"/>
    </xf>
    <xf numFmtId="0" fontId="67" fillId="3" borderId="102" xfId="0" applyFont="1" applyFill="1" applyBorder="1" applyProtection="1">
      <protection hidden="1"/>
    </xf>
    <xf numFmtId="0" fontId="67" fillId="3" borderId="107" xfId="0" applyFont="1" applyFill="1" applyBorder="1" applyAlignment="1" applyProtection="1">
      <alignment horizontal="right" vertical="center"/>
      <protection hidden="1"/>
    </xf>
    <xf numFmtId="0" fontId="71" fillId="4" borderId="0" xfId="0" applyFont="1" applyFill="1" applyAlignment="1" applyProtection="1">
      <alignment horizontal="left" vertical="top" wrapText="1"/>
      <protection hidden="1"/>
    </xf>
    <xf numFmtId="0" fontId="67" fillId="3" borderId="45" xfId="0" applyFont="1" applyFill="1" applyBorder="1" applyProtection="1">
      <protection hidden="1"/>
    </xf>
    <xf numFmtId="0" fontId="67" fillId="3" borderId="110" xfId="0" applyFont="1" applyFill="1" applyBorder="1" applyAlignment="1" applyProtection="1">
      <alignment horizontal="right" vertical="center"/>
      <protection hidden="1"/>
    </xf>
    <xf numFmtId="0" fontId="67" fillId="3" borderId="27" xfId="0" applyFont="1" applyFill="1" applyBorder="1" applyProtection="1">
      <protection hidden="1"/>
    </xf>
    <xf numFmtId="0" fontId="67" fillId="3" borderId="104" xfId="0" applyFont="1" applyFill="1" applyBorder="1" applyAlignment="1" applyProtection="1">
      <alignment horizontal="right" vertical="center"/>
      <protection hidden="1"/>
    </xf>
    <xf numFmtId="0" fontId="67" fillId="3" borderId="103" xfId="0" applyFont="1" applyFill="1" applyBorder="1" applyProtection="1">
      <protection hidden="1"/>
    </xf>
    <xf numFmtId="0" fontId="58" fillId="2" borderId="11" xfId="0" applyFont="1" applyFill="1" applyBorder="1" applyAlignment="1" applyProtection="1">
      <protection hidden="1"/>
    </xf>
    <xf numFmtId="0" fontId="58" fillId="2" borderId="0" xfId="0" applyFont="1" applyFill="1" applyBorder="1" applyAlignment="1" applyProtection="1">
      <protection hidden="1"/>
    </xf>
    <xf numFmtId="0" fontId="58" fillId="2" borderId="53" xfId="0" applyFont="1" applyFill="1" applyBorder="1" applyProtection="1">
      <protection hidden="1"/>
    </xf>
    <xf numFmtId="0" fontId="58" fillId="4" borderId="54" xfId="0" applyFont="1" applyFill="1" applyBorder="1"/>
    <xf numFmtId="0" fontId="58" fillId="4" borderId="55" xfId="0" applyFont="1" applyFill="1" applyBorder="1"/>
    <xf numFmtId="0" fontId="58" fillId="2" borderId="56" xfId="0" applyFont="1" applyFill="1" applyBorder="1" applyProtection="1">
      <protection hidden="1"/>
    </xf>
    <xf numFmtId="9" fontId="58" fillId="4" borderId="2" xfId="0" applyNumberFormat="1" applyFont="1" applyFill="1" applyBorder="1"/>
    <xf numFmtId="9" fontId="58" fillId="4" borderId="57" xfId="0" applyNumberFormat="1" applyFont="1" applyFill="1" applyBorder="1"/>
    <xf numFmtId="0" fontId="58" fillId="2" borderId="58" xfId="0" applyFont="1" applyFill="1" applyBorder="1" applyProtection="1">
      <protection hidden="1"/>
    </xf>
    <xf numFmtId="9" fontId="58" fillId="4" borderId="59" xfId="0" applyNumberFormat="1" applyFont="1" applyFill="1" applyBorder="1"/>
    <xf numFmtId="9" fontId="58" fillId="4" borderId="60" xfId="0" applyNumberFormat="1" applyFont="1" applyFill="1" applyBorder="1"/>
    <xf numFmtId="0" fontId="58" fillId="4" borderId="12" xfId="0" applyFont="1" applyFill="1" applyBorder="1" applyProtection="1"/>
    <xf numFmtId="0" fontId="72" fillId="2" borderId="15" xfId="0" applyFont="1" applyFill="1" applyBorder="1" applyAlignment="1" applyProtection="1">
      <alignment horizontal="center" wrapText="1"/>
      <protection hidden="1"/>
    </xf>
    <xf numFmtId="0" fontId="73" fillId="2" borderId="14" xfId="0" applyFont="1" applyFill="1" applyBorder="1" applyAlignment="1" applyProtection="1">
      <alignment horizontal="left"/>
      <protection hidden="1"/>
    </xf>
    <xf numFmtId="0" fontId="68" fillId="2" borderId="1" xfId="0" applyFont="1" applyFill="1" applyBorder="1" applyAlignment="1" applyProtection="1">
      <alignment horizontal="center" wrapText="1"/>
      <protection hidden="1"/>
    </xf>
    <xf numFmtId="0" fontId="68" fillId="2" borderId="13" xfId="0" applyFont="1" applyFill="1" applyBorder="1" applyAlignment="1" applyProtection="1">
      <alignment horizontal="center" wrapText="1"/>
      <protection hidden="1"/>
    </xf>
    <xf numFmtId="0" fontId="68" fillId="2" borderId="14" xfId="0" applyFont="1" applyFill="1" applyBorder="1" applyAlignment="1" applyProtection="1">
      <alignment horizontal="center" wrapText="1"/>
      <protection hidden="1"/>
    </xf>
    <xf numFmtId="0" fontId="72" fillId="2" borderId="5" xfId="0" applyFont="1" applyFill="1" applyBorder="1" applyAlignment="1" applyProtection="1">
      <alignment horizontal="center" wrapText="1"/>
      <protection hidden="1"/>
    </xf>
    <xf numFmtId="0" fontId="68" fillId="2" borderId="5" xfId="0" applyFont="1" applyFill="1" applyBorder="1" applyAlignment="1" applyProtection="1">
      <alignment horizontal="center" vertical="top" wrapText="1"/>
      <protection hidden="1"/>
    </xf>
    <xf numFmtId="0" fontId="67" fillId="3" borderId="25" xfId="0" applyFont="1" applyFill="1" applyBorder="1" applyAlignment="1" applyProtection="1">
      <alignment horizontal="left" vertical="center"/>
      <protection hidden="1"/>
    </xf>
    <xf numFmtId="0" fontId="65" fillId="5" borderId="31" xfId="0" applyFont="1" applyFill="1" applyBorder="1" applyAlignment="1" applyProtection="1">
      <alignment horizontal="center" vertical="center"/>
      <protection hidden="1"/>
    </xf>
    <xf numFmtId="0" fontId="65" fillId="5" borderId="32" xfId="0" applyFont="1" applyFill="1" applyBorder="1" applyAlignment="1" applyProtection="1">
      <alignment horizontal="center" vertical="center"/>
      <protection hidden="1"/>
    </xf>
    <xf numFmtId="9" fontId="65" fillId="5" borderId="30" xfId="2" applyNumberFormat="1" applyFont="1" applyFill="1" applyBorder="1" applyAlignment="1" applyProtection="1">
      <alignment horizontal="center" vertical="center"/>
      <protection hidden="1"/>
    </xf>
    <xf numFmtId="9" fontId="65" fillId="5" borderId="31" xfId="2" applyNumberFormat="1" applyFont="1" applyFill="1" applyBorder="1" applyAlignment="1" applyProtection="1">
      <alignment horizontal="center" vertical="center"/>
      <protection hidden="1"/>
    </xf>
    <xf numFmtId="0" fontId="58" fillId="4" borderId="108" xfId="0" applyFont="1" applyFill="1" applyBorder="1"/>
    <xf numFmtId="0" fontId="58" fillId="4" borderId="77" xfId="0" applyFont="1" applyFill="1" applyBorder="1"/>
    <xf numFmtId="0" fontId="67" fillId="3" borderId="24" xfId="0" applyFont="1" applyFill="1" applyBorder="1" applyAlignment="1" applyProtection="1">
      <alignment horizontal="left" vertical="center"/>
      <protection hidden="1"/>
    </xf>
    <xf numFmtId="0" fontId="65" fillId="5" borderId="26" xfId="0" applyFont="1" applyFill="1" applyBorder="1" applyAlignment="1" applyProtection="1">
      <alignment horizontal="center" vertical="center"/>
      <protection hidden="1"/>
    </xf>
    <xf numFmtId="0" fontId="65" fillId="5" borderId="33" xfId="0" applyFont="1" applyFill="1" applyBorder="1" applyAlignment="1" applyProtection="1">
      <alignment horizontal="center" vertical="center"/>
      <protection hidden="1"/>
    </xf>
    <xf numFmtId="9" fontId="65" fillId="5" borderId="29" xfId="2" applyNumberFormat="1" applyFont="1" applyFill="1" applyBorder="1" applyAlignment="1" applyProtection="1">
      <alignment horizontal="center" vertical="center"/>
      <protection hidden="1"/>
    </xf>
    <xf numFmtId="0" fontId="58" fillId="4" borderId="109" xfId="0" applyFont="1" applyFill="1" applyBorder="1"/>
    <xf numFmtId="0" fontId="58" fillId="4" borderId="56" xfId="0" applyFont="1" applyFill="1" applyBorder="1"/>
    <xf numFmtId="0" fontId="58" fillId="4" borderId="2" xfId="0" applyFont="1" applyFill="1" applyBorder="1"/>
    <xf numFmtId="0" fontId="58" fillId="4" borderId="57" xfId="0" applyFont="1" applyFill="1" applyBorder="1"/>
    <xf numFmtId="0" fontId="74" fillId="4" borderId="0" xfId="0" applyFont="1" applyFill="1" applyProtection="1"/>
    <xf numFmtId="0" fontId="74" fillId="4" borderId="0" xfId="0" applyFont="1" applyFill="1"/>
    <xf numFmtId="164" fontId="65" fillId="5" borderId="28" xfId="2" applyNumberFormat="1" applyFont="1" applyFill="1" applyBorder="1" applyAlignment="1" applyProtection="1">
      <alignment horizontal="center" vertical="center"/>
      <protection hidden="1"/>
    </xf>
    <xf numFmtId="0" fontId="66" fillId="3" borderId="24" xfId="0" applyFont="1" applyFill="1" applyBorder="1" applyAlignment="1" applyProtection="1">
      <alignment horizontal="left" vertical="center"/>
      <protection hidden="1"/>
    </xf>
    <xf numFmtId="0" fontId="64" fillId="5" borderId="26" xfId="0" applyFont="1" applyFill="1" applyBorder="1" applyAlignment="1" applyProtection="1">
      <alignment horizontal="center" vertical="center"/>
      <protection hidden="1"/>
    </xf>
    <xf numFmtId="0" fontId="64" fillId="5" borderId="33" xfId="0" applyFont="1" applyFill="1" applyBorder="1" applyAlignment="1" applyProtection="1">
      <alignment horizontal="center" vertical="center"/>
      <protection hidden="1"/>
    </xf>
    <xf numFmtId="164" fontId="65" fillId="5" borderId="29" xfId="2" applyNumberFormat="1" applyFont="1" applyFill="1" applyBorder="1" applyAlignment="1" applyProtection="1">
      <alignment horizontal="center" vertical="center"/>
      <protection hidden="1"/>
    </xf>
    <xf numFmtId="0" fontId="64" fillId="5" borderId="28" xfId="0" applyFont="1" applyFill="1" applyBorder="1" applyAlignment="1" applyProtection="1">
      <alignment horizontal="center" vertical="center"/>
      <protection hidden="1"/>
    </xf>
    <xf numFmtId="164" fontId="65" fillId="5" borderId="26" xfId="2" applyNumberFormat="1" applyFont="1" applyFill="1" applyBorder="1" applyAlignment="1" applyProtection="1">
      <alignment horizontal="center" vertical="center"/>
      <protection hidden="1"/>
    </xf>
    <xf numFmtId="164" fontId="64" fillId="5" borderId="24" xfId="2" applyNumberFormat="1" applyFont="1" applyFill="1" applyBorder="1" applyAlignment="1" applyProtection="1">
      <alignment horizontal="center" vertical="center"/>
      <protection hidden="1"/>
    </xf>
    <xf numFmtId="164" fontId="64" fillId="5" borderId="29" xfId="2" applyNumberFormat="1" applyFont="1" applyFill="1" applyBorder="1" applyAlignment="1" applyProtection="1">
      <alignment horizontal="center" vertical="center"/>
      <protection hidden="1"/>
    </xf>
    <xf numFmtId="0" fontId="67" fillId="3" borderId="27" xfId="0" applyFont="1" applyFill="1" applyBorder="1" applyAlignment="1" applyProtection="1">
      <alignment horizontal="left" vertical="center"/>
      <protection hidden="1"/>
    </xf>
    <xf numFmtId="0" fontId="67" fillId="3" borderId="27" xfId="0" applyFont="1" applyFill="1" applyBorder="1" applyAlignment="1" applyProtection="1">
      <alignment horizontal="right" vertical="center"/>
      <protection hidden="1"/>
    </xf>
    <xf numFmtId="164" fontId="65" fillId="5" borderId="24" xfId="2" applyNumberFormat="1" applyFont="1" applyFill="1" applyBorder="1" applyAlignment="1" applyProtection="1">
      <alignment horizontal="center" vertical="center"/>
      <protection hidden="1"/>
    </xf>
    <xf numFmtId="0" fontId="58" fillId="0" borderId="0" xfId="0" applyFont="1" applyProtection="1"/>
    <xf numFmtId="0" fontId="75" fillId="2" borderId="0" xfId="0" applyFont="1" applyFill="1" applyAlignment="1" applyProtection="1">
      <alignment horizontal="center" wrapText="1"/>
      <protection hidden="1"/>
    </xf>
    <xf numFmtId="0" fontId="76" fillId="2" borderId="0" xfId="0" applyFont="1" applyFill="1" applyAlignment="1" applyProtection="1">
      <alignment horizontal="center" wrapText="1"/>
      <protection hidden="1"/>
    </xf>
    <xf numFmtId="0" fontId="77" fillId="2" borderId="0" xfId="0" applyFont="1" applyFill="1" applyAlignment="1" applyProtection="1">
      <alignment horizontal="left" vertical="top" wrapText="1"/>
      <protection hidden="1"/>
    </xf>
    <xf numFmtId="0" fontId="78" fillId="4" borderId="0" xfId="0" applyFont="1" applyFill="1" applyProtection="1">
      <protection hidden="1"/>
    </xf>
    <xf numFmtId="0" fontId="79" fillId="4" borderId="0" xfId="0" applyFont="1" applyFill="1" applyProtection="1">
      <protection hidden="1"/>
    </xf>
    <xf numFmtId="0" fontId="58" fillId="2" borderId="1" xfId="0" applyFont="1" applyFill="1" applyBorder="1" applyProtection="1">
      <protection hidden="1"/>
    </xf>
    <xf numFmtId="0" fontId="80" fillId="4" borderId="0" xfId="0" applyFont="1" applyFill="1" applyProtection="1">
      <protection hidden="1"/>
    </xf>
    <xf numFmtId="0" fontId="58" fillId="0" borderId="0" xfId="0" applyFont="1"/>
    <xf numFmtId="0" fontId="74" fillId="4" borderId="0" xfId="0" applyFont="1" applyFill="1" applyProtection="1">
      <protection hidden="1"/>
    </xf>
    <xf numFmtId="0" fontId="71" fillId="4" borderId="0" xfId="0" applyFont="1" applyFill="1" applyAlignment="1" applyProtection="1">
      <alignment vertical="top" wrapText="1"/>
    </xf>
    <xf numFmtId="0" fontId="82" fillId="2" borderId="21" xfId="0" applyFont="1" applyFill="1" applyBorder="1" applyProtection="1">
      <protection hidden="1"/>
    </xf>
    <xf numFmtId="0" fontId="82" fillId="2" borderId="22" xfId="0" applyFont="1" applyFill="1" applyBorder="1" applyProtection="1">
      <protection hidden="1"/>
    </xf>
    <xf numFmtId="10" fontId="82" fillId="2" borderId="23" xfId="0" applyNumberFormat="1" applyFont="1" applyFill="1" applyBorder="1" applyProtection="1">
      <protection hidden="1"/>
    </xf>
    <xf numFmtId="0" fontId="82" fillId="2" borderId="16" xfId="0" applyFont="1" applyFill="1" applyBorder="1" applyProtection="1">
      <protection hidden="1"/>
    </xf>
    <xf numFmtId="0" fontId="82" fillId="2" borderId="0" xfId="0" applyFont="1" applyFill="1" applyBorder="1" applyProtection="1">
      <protection hidden="1"/>
    </xf>
    <xf numFmtId="10" fontId="82" fillId="2" borderId="17" xfId="0" applyNumberFormat="1" applyFont="1" applyFill="1" applyBorder="1" applyProtection="1">
      <protection hidden="1"/>
    </xf>
    <xf numFmtId="0" fontId="82" fillId="2" borderId="18" xfId="0" applyFont="1" applyFill="1" applyBorder="1" applyProtection="1">
      <protection hidden="1"/>
    </xf>
    <xf numFmtId="0" fontId="82" fillId="2" borderId="19" xfId="0" applyFont="1" applyFill="1" applyBorder="1" applyProtection="1">
      <protection hidden="1"/>
    </xf>
    <xf numFmtId="10" fontId="82" fillId="2" borderId="20" xfId="0" applyNumberFormat="1" applyFont="1" applyFill="1" applyBorder="1" applyProtection="1">
      <protection hidden="1"/>
    </xf>
    <xf numFmtId="0" fontId="83" fillId="3" borderId="1" xfId="0" applyFont="1" applyFill="1" applyBorder="1" applyAlignment="1" applyProtection="1">
      <alignment vertical="top"/>
      <protection hidden="1"/>
    </xf>
    <xf numFmtId="0" fontId="83" fillId="3" borderId="41" xfId="0" applyFont="1" applyFill="1" applyBorder="1" applyAlignment="1" applyProtection="1">
      <alignment horizontal="left" vertical="top"/>
      <protection hidden="1"/>
    </xf>
    <xf numFmtId="0" fontId="0" fillId="0" borderId="0" xfId="0" applyProtection="1">
      <protection hidden="1"/>
    </xf>
    <xf numFmtId="0" fontId="31" fillId="3" borderId="0" xfId="0" applyFont="1" applyFill="1" applyBorder="1" applyAlignment="1" applyProtection="1">
      <alignment vertical="top"/>
      <protection hidden="1"/>
    </xf>
    <xf numFmtId="0" fontId="31" fillId="3" borderId="0" xfId="0" applyFont="1" applyFill="1" applyBorder="1" applyAlignment="1" applyProtection="1">
      <alignment vertical="top" wrapText="1"/>
      <protection hidden="1"/>
    </xf>
    <xf numFmtId="0" fontId="14" fillId="4" borderId="0" xfId="0" applyFont="1" applyFill="1" applyAlignment="1" applyProtection="1">
      <alignment vertical="center" wrapText="1"/>
      <protection hidden="1"/>
    </xf>
    <xf numFmtId="0" fontId="46" fillId="2" borderId="0" xfId="0" applyFont="1" applyFill="1" applyAlignment="1" applyProtection="1">
      <alignment horizontal="right"/>
      <protection hidden="1"/>
    </xf>
    <xf numFmtId="0" fontId="25" fillId="4" borderId="1" xfId="0" applyFont="1" applyFill="1" applyBorder="1" applyAlignment="1" applyProtection="1">
      <alignment horizontal="left"/>
      <protection hidden="1"/>
    </xf>
    <xf numFmtId="0" fontId="7" fillId="3" borderId="132" xfId="0" applyFont="1" applyFill="1" applyBorder="1" applyAlignment="1" applyProtection="1">
      <alignment horizontal="right" vertical="center"/>
      <protection hidden="1"/>
    </xf>
    <xf numFmtId="0" fontId="1" fillId="4" borderId="2" xfId="0" applyFont="1" applyFill="1" applyBorder="1" applyAlignment="1" applyProtection="1">
      <alignment vertical="center" wrapText="1"/>
      <protection locked="0" hidden="1"/>
    </xf>
    <xf numFmtId="0" fontId="7" fillId="3" borderId="100" xfId="0" applyFont="1" applyFill="1" applyBorder="1" applyAlignment="1" applyProtection="1">
      <alignment horizontal="right" vertical="center"/>
      <protection hidden="1"/>
    </xf>
    <xf numFmtId="0" fontId="7" fillId="3" borderId="130" xfId="0" applyFont="1" applyFill="1" applyBorder="1" applyAlignment="1" applyProtection="1">
      <alignment horizontal="right" vertical="center"/>
      <protection hidden="1"/>
    </xf>
    <xf numFmtId="0" fontId="7" fillId="3" borderId="101" xfId="0" applyFont="1" applyFill="1" applyBorder="1" applyAlignment="1" applyProtection="1">
      <alignment horizontal="right" vertical="center"/>
      <protection hidden="1"/>
    </xf>
    <xf numFmtId="0" fontId="1" fillId="0" borderId="2" xfId="0" applyFont="1" applyFill="1" applyBorder="1" applyAlignment="1" applyProtection="1">
      <alignment vertical="center" wrapText="1"/>
      <protection locked="0" hidden="1"/>
    </xf>
    <xf numFmtId="0" fontId="9" fillId="0" borderId="2" xfId="0" applyFont="1" applyFill="1" applyBorder="1" applyAlignment="1" applyProtection="1">
      <alignment vertical="center" wrapText="1"/>
      <protection locked="0" hidden="1"/>
    </xf>
    <xf numFmtId="0" fontId="7" fillId="3" borderId="131" xfId="0" applyFont="1" applyFill="1" applyBorder="1" applyAlignment="1" applyProtection="1">
      <alignment horizontal="right" vertical="center"/>
      <protection hidden="1"/>
    </xf>
    <xf numFmtId="0" fontId="7" fillId="3" borderId="114" xfId="0" applyFont="1" applyFill="1" applyBorder="1" applyAlignment="1" applyProtection="1">
      <alignment horizontal="right" vertical="center"/>
      <protection hidden="1"/>
    </xf>
    <xf numFmtId="0" fontId="7" fillId="3" borderId="9" xfId="0" applyFont="1" applyFill="1" applyBorder="1" applyAlignment="1" applyProtection="1">
      <alignment horizontal="right" vertical="center"/>
      <protection hidden="1"/>
    </xf>
    <xf numFmtId="0" fontId="7" fillId="3" borderId="133" xfId="0" applyFont="1" applyFill="1" applyBorder="1" applyAlignment="1" applyProtection="1">
      <alignment horizontal="right" vertical="top"/>
      <protection hidden="1"/>
    </xf>
    <xf numFmtId="0" fontId="8" fillId="3" borderId="15" xfId="0" applyFont="1" applyFill="1" applyBorder="1" applyAlignment="1" applyProtection="1">
      <alignment horizontal="right" vertical="top"/>
      <protection hidden="1"/>
    </xf>
    <xf numFmtId="0" fontId="1" fillId="0" borderId="15" xfId="0" applyFont="1" applyFill="1" applyBorder="1" applyAlignment="1" applyProtection="1">
      <alignment vertical="center" wrapText="1"/>
      <protection locked="0" hidden="1"/>
    </xf>
    <xf numFmtId="0" fontId="0" fillId="0" borderId="0" xfId="0" applyFill="1" applyProtection="1">
      <protection locked="0" hidden="1"/>
    </xf>
    <xf numFmtId="0" fontId="8" fillId="3" borderId="15" xfId="0" applyFont="1" applyFill="1" applyBorder="1" applyAlignment="1" applyProtection="1">
      <alignment horizontal="left" vertical="center" wrapText="1"/>
      <protection hidden="1"/>
    </xf>
    <xf numFmtId="0" fontId="7" fillId="3" borderId="134" xfId="0" applyFont="1" applyFill="1" applyBorder="1" applyAlignment="1" applyProtection="1">
      <alignment horizontal="right" vertical="top"/>
      <protection hidden="1"/>
    </xf>
    <xf numFmtId="0" fontId="7" fillId="3" borderId="132" xfId="0" applyFont="1" applyFill="1" applyBorder="1" applyAlignment="1" applyProtection="1">
      <alignment horizontal="right" vertical="top"/>
      <protection hidden="1"/>
    </xf>
    <xf numFmtId="0" fontId="7" fillId="3" borderId="130" xfId="0" applyFont="1" applyFill="1" applyBorder="1" applyAlignment="1" applyProtection="1">
      <alignment horizontal="right" vertical="top"/>
      <protection hidden="1"/>
    </xf>
    <xf numFmtId="0" fontId="7" fillId="3" borderId="101" xfId="0" applyFont="1" applyFill="1" applyBorder="1" applyAlignment="1" applyProtection="1">
      <alignment horizontal="right" vertical="center" wrapText="1"/>
      <protection hidden="1"/>
    </xf>
    <xf numFmtId="0" fontId="0" fillId="8" borderId="2" xfId="0" applyFont="1" applyFill="1" applyBorder="1" applyProtection="1">
      <protection hidden="1"/>
    </xf>
    <xf numFmtId="0" fontId="7" fillId="3" borderId="100" xfId="0" applyFont="1" applyFill="1" applyBorder="1" applyAlignment="1" applyProtection="1">
      <alignment horizontal="right" wrapText="1"/>
      <protection hidden="1"/>
    </xf>
    <xf numFmtId="0" fontId="1" fillId="0" borderId="2" xfId="0" applyFont="1" applyFill="1" applyBorder="1" applyAlignment="1" applyProtection="1">
      <alignment vertical="center" wrapText="1"/>
      <protection hidden="1"/>
    </xf>
    <xf numFmtId="0" fontId="7" fillId="3" borderId="131" xfId="0" applyFont="1" applyFill="1" applyBorder="1" applyAlignment="1" applyProtection="1">
      <alignment horizontal="right" vertical="top" wrapText="1"/>
      <protection hidden="1"/>
    </xf>
    <xf numFmtId="0" fontId="7" fillId="3" borderId="114" xfId="0" applyFont="1" applyFill="1" applyBorder="1" applyAlignment="1" applyProtection="1">
      <alignment horizontal="right" vertical="center" wrapText="1"/>
      <protection hidden="1"/>
    </xf>
    <xf numFmtId="0" fontId="25" fillId="4" borderId="0" xfId="0" applyFont="1" applyFill="1" applyBorder="1" applyAlignment="1" applyProtection="1">
      <alignment horizontal="left"/>
      <protection hidden="1"/>
    </xf>
    <xf numFmtId="0" fontId="0" fillId="2" borderId="1" xfId="0" applyFont="1" applyFill="1" applyBorder="1" applyProtection="1">
      <protection hidden="1"/>
    </xf>
    <xf numFmtId="0" fontId="46" fillId="2" borderId="1" xfId="0" applyFont="1" applyFill="1" applyBorder="1" applyAlignment="1" applyProtection="1">
      <alignment horizontal="right"/>
      <protection hidden="1"/>
    </xf>
    <xf numFmtId="0" fontId="35" fillId="4" borderId="0" xfId="0" applyFont="1" applyFill="1" applyBorder="1" applyAlignment="1" applyProtection="1">
      <alignment horizontal="left" vertical="top" wrapText="1"/>
      <protection hidden="1"/>
    </xf>
    <xf numFmtId="0" fontId="0" fillId="0" borderId="0" xfId="0" applyFont="1" applyAlignment="1" applyProtection="1">
      <alignment horizontal="right"/>
      <protection hidden="1"/>
    </xf>
    <xf numFmtId="0" fontId="0" fillId="2" borderId="0" xfId="0" applyFont="1" applyFill="1" applyProtection="1">
      <protection locked="0" hidden="1"/>
    </xf>
    <xf numFmtId="0" fontId="9" fillId="2" borderId="0" xfId="0" applyFont="1" applyFill="1" applyProtection="1">
      <protection locked="0" hidden="1"/>
    </xf>
    <xf numFmtId="0" fontId="33" fillId="2" borderId="0" xfId="0" applyFont="1" applyFill="1" applyProtection="1">
      <protection locked="0" hidden="1"/>
    </xf>
    <xf numFmtId="0" fontId="0" fillId="2" borderId="0" xfId="0" applyFont="1" applyFill="1" applyAlignment="1" applyProtection="1">
      <alignment horizontal="right"/>
      <protection hidden="1"/>
    </xf>
    <xf numFmtId="0" fontId="9" fillId="2" borderId="0" xfId="0" applyFont="1" applyFill="1" applyAlignment="1" applyProtection="1">
      <alignment vertical="top" wrapText="1"/>
      <protection locked="0" hidden="1"/>
    </xf>
    <xf numFmtId="0" fontId="17" fillId="2" borderId="1" xfId="0" applyFont="1" applyFill="1" applyBorder="1" applyAlignment="1" applyProtection="1">
      <alignment vertical="top" wrapText="1"/>
      <protection hidden="1"/>
    </xf>
    <xf numFmtId="0" fontId="0" fillId="8" borderId="53" xfId="0" applyFill="1" applyBorder="1" applyProtection="1">
      <protection hidden="1"/>
    </xf>
    <xf numFmtId="0" fontId="0" fillId="7" borderId="56" xfId="0" applyFill="1" applyBorder="1" applyProtection="1">
      <protection hidden="1"/>
    </xf>
    <xf numFmtId="0" fontId="13" fillId="2" borderId="0" xfId="0" applyFont="1" applyFill="1" applyAlignment="1" applyProtection="1">
      <alignment vertical="top" wrapText="1"/>
      <protection hidden="1"/>
    </xf>
    <xf numFmtId="0" fontId="0" fillId="9" borderId="56" xfId="0" applyFill="1" applyBorder="1" applyProtection="1">
      <protection hidden="1"/>
    </xf>
    <xf numFmtId="0" fontId="47" fillId="2" borderId="1" xfId="0" applyFont="1" applyFill="1" applyBorder="1" applyAlignment="1" applyProtection="1">
      <alignment horizontal="right" vertical="top" wrapText="1"/>
      <protection hidden="1"/>
    </xf>
    <xf numFmtId="0" fontId="35" fillId="2" borderId="0" xfId="0" applyFont="1" applyFill="1" applyProtection="1">
      <protection hidden="1"/>
    </xf>
    <xf numFmtId="0" fontId="45" fillId="2" borderId="0" xfId="0" applyFont="1" applyFill="1" applyProtection="1">
      <protection hidden="1"/>
    </xf>
    <xf numFmtId="0" fontId="27" fillId="2" borderId="0" xfId="0" applyFont="1" applyFill="1" applyProtection="1">
      <protection hidden="1"/>
    </xf>
    <xf numFmtId="0" fontId="43" fillId="2" borderId="0" xfId="0" applyFont="1" applyFill="1" applyProtection="1">
      <protection hidden="1"/>
    </xf>
    <xf numFmtId="0" fontId="9" fillId="2" borderId="0" xfId="0" applyFont="1" applyFill="1" applyAlignment="1" applyProtection="1">
      <alignment horizontal="right" vertical="center"/>
      <protection hidden="1"/>
    </xf>
    <xf numFmtId="2" fontId="9" fillId="2" borderId="0" xfId="0" applyNumberFormat="1" applyFont="1" applyFill="1" applyAlignment="1" applyProtection="1">
      <alignment horizontal="left" vertical="top"/>
      <protection hidden="1"/>
    </xf>
    <xf numFmtId="14" fontId="9" fillId="2" borderId="0" xfId="0" applyNumberFormat="1" applyFont="1" applyFill="1" applyAlignment="1" applyProtection="1">
      <alignment horizontal="left"/>
      <protection hidden="1"/>
    </xf>
    <xf numFmtId="0" fontId="0" fillId="0" borderId="0" xfId="0" applyFont="1" applyProtection="1">
      <protection hidden="1"/>
    </xf>
    <xf numFmtId="0" fontId="9" fillId="4" borderId="0" xfId="0" applyFont="1" applyFill="1" applyBorder="1" applyAlignment="1" applyProtection="1">
      <alignment vertical="center" wrapText="1"/>
      <protection hidden="1"/>
    </xf>
    <xf numFmtId="0" fontId="32" fillId="2" borderId="125" xfId="0" applyFont="1" applyFill="1" applyBorder="1" applyAlignment="1" applyProtection="1">
      <alignment horizontal="left" vertical="top" wrapText="1"/>
      <protection hidden="1"/>
    </xf>
    <xf numFmtId="0" fontId="32" fillId="2" borderId="0" xfId="0" applyFont="1" applyFill="1" applyBorder="1" applyAlignment="1" applyProtection="1">
      <alignment horizontal="left" vertical="top" wrapText="1"/>
      <protection hidden="1"/>
    </xf>
    <xf numFmtId="0" fontId="57" fillId="5" borderId="124" xfId="0" applyFont="1" applyFill="1" applyBorder="1" applyAlignment="1" applyProtection="1">
      <alignment vertical="center" wrapText="1"/>
      <protection hidden="1"/>
    </xf>
    <xf numFmtId="0" fontId="23" fillId="5" borderId="0" xfId="0" applyFont="1" applyFill="1" applyBorder="1" applyAlignment="1" applyProtection="1">
      <alignment vertical="center" wrapText="1"/>
      <protection hidden="1"/>
    </xf>
    <xf numFmtId="0" fontId="23" fillId="5" borderId="0" xfId="0" applyFont="1" applyFill="1" applyBorder="1" applyAlignment="1" applyProtection="1">
      <alignment horizontal="left" vertical="center" wrapText="1"/>
      <protection hidden="1"/>
    </xf>
    <xf numFmtId="0" fontId="23" fillId="4" borderId="3" xfId="0" applyFont="1" applyFill="1" applyBorder="1" applyAlignment="1" applyProtection="1">
      <alignment vertical="center" wrapText="1"/>
      <protection hidden="1"/>
    </xf>
    <xf numFmtId="0" fontId="0" fillId="4" borderId="3" xfId="0" applyFill="1" applyBorder="1" applyAlignment="1" applyProtection="1">
      <alignment vertical="center" wrapText="1"/>
      <protection hidden="1"/>
    </xf>
    <xf numFmtId="0" fontId="26" fillId="4" borderId="2" xfId="0" applyFont="1" applyFill="1" applyBorder="1" applyAlignment="1" applyProtection="1">
      <alignment horizontal="center" vertical="center" wrapText="1"/>
      <protection hidden="1"/>
    </xf>
    <xf numFmtId="164" fontId="26" fillId="4" borderId="2" xfId="0" applyNumberFormat="1" applyFont="1" applyFill="1" applyBorder="1" applyAlignment="1" applyProtection="1">
      <alignment horizontal="center" vertical="center" wrapText="1"/>
      <protection hidden="1"/>
    </xf>
    <xf numFmtId="0" fontId="0" fillId="4" borderId="2" xfId="0" applyFill="1" applyBorder="1" applyAlignment="1" applyProtection="1">
      <alignment vertical="center" wrapText="1"/>
      <protection hidden="1"/>
    </xf>
    <xf numFmtId="0" fontId="26" fillId="4" borderId="2" xfId="0" applyFont="1" applyFill="1" applyBorder="1" applyAlignment="1" applyProtection="1">
      <alignment horizontal="left" vertical="center" wrapText="1"/>
      <protection hidden="1"/>
    </xf>
    <xf numFmtId="0" fontId="26" fillId="4" borderId="4" xfId="0" applyFont="1" applyFill="1" applyBorder="1" applyAlignment="1" applyProtection="1">
      <alignment horizontal="left" vertical="center" wrapText="1"/>
      <protection hidden="1"/>
    </xf>
    <xf numFmtId="0" fontId="23" fillId="4" borderId="15" xfId="0" applyFont="1" applyFill="1" applyBorder="1" applyAlignment="1" applyProtection="1">
      <alignment vertical="center" wrapText="1"/>
      <protection hidden="1"/>
    </xf>
    <xf numFmtId="0" fontId="26" fillId="4" borderId="7" xfId="0" applyFont="1" applyFill="1" applyBorder="1" applyAlignment="1" applyProtection="1">
      <alignment horizontal="center" vertical="center" wrapText="1"/>
      <protection hidden="1"/>
    </xf>
    <xf numFmtId="0" fontId="0" fillId="4" borderId="15" xfId="0" applyFill="1" applyBorder="1" applyAlignment="1" applyProtection="1">
      <alignment vertical="center" wrapText="1"/>
      <protection hidden="1"/>
    </xf>
    <xf numFmtId="0" fontId="37" fillId="4" borderId="2" xfId="0" applyFont="1" applyFill="1" applyBorder="1" applyAlignment="1" applyProtection="1">
      <alignment horizontal="center" vertical="center" wrapText="1"/>
      <protection hidden="1"/>
    </xf>
    <xf numFmtId="164" fontId="37" fillId="4" borderId="2" xfId="0" applyNumberFormat="1" applyFont="1" applyFill="1" applyBorder="1" applyAlignment="1" applyProtection="1">
      <alignment horizontal="center" vertical="center" wrapText="1"/>
      <protection hidden="1"/>
    </xf>
    <xf numFmtId="0" fontId="37" fillId="4" borderId="7" xfId="0" applyFont="1" applyFill="1" applyBorder="1" applyAlignment="1" applyProtection="1">
      <alignment horizontal="center" vertical="center" wrapText="1"/>
      <protection hidden="1"/>
    </xf>
    <xf numFmtId="0" fontId="0" fillId="2" borderId="0" xfId="0" applyFill="1" applyBorder="1" applyAlignment="1" applyProtection="1">
      <alignment horizontal="left" vertical="center" wrapText="1"/>
      <protection hidden="1"/>
    </xf>
    <xf numFmtId="0" fontId="0" fillId="2" borderId="0" xfId="0" applyFill="1" applyBorder="1" applyAlignment="1" applyProtection="1">
      <alignment vertical="center" wrapText="1"/>
      <protection hidden="1"/>
    </xf>
    <xf numFmtId="0" fontId="57" fillId="5" borderId="128" xfId="0" applyFont="1" applyFill="1" applyBorder="1" applyAlignment="1" applyProtection="1">
      <alignment vertical="center" wrapText="1"/>
      <protection hidden="1"/>
    </xf>
    <xf numFmtId="0" fontId="21" fillId="3" borderId="106" xfId="0" applyFont="1" applyFill="1" applyBorder="1" applyAlignment="1" applyProtection="1">
      <alignment vertical="top"/>
      <protection hidden="1"/>
    </xf>
    <xf numFmtId="0" fontId="20" fillId="3" borderId="106" xfId="0" applyFont="1" applyFill="1" applyBorder="1" applyProtection="1">
      <protection hidden="1"/>
    </xf>
    <xf numFmtId="0" fontId="14" fillId="2" borderId="8" xfId="0" applyFont="1" applyFill="1" applyBorder="1" applyAlignment="1" applyProtection="1">
      <alignment horizontal="left" vertical="center"/>
      <protection hidden="1"/>
    </xf>
    <xf numFmtId="0" fontId="14" fillId="2" borderId="0" xfId="0" applyFont="1" applyFill="1" applyBorder="1" applyAlignment="1" applyProtection="1">
      <alignment horizontal="left" vertical="center" wrapText="1"/>
      <protection hidden="1"/>
    </xf>
    <xf numFmtId="0" fontId="0" fillId="2" borderId="12" xfId="0" applyFill="1" applyBorder="1" applyProtection="1">
      <protection hidden="1"/>
    </xf>
    <xf numFmtId="0" fontId="7" fillId="3" borderId="2" xfId="0" applyFont="1" applyFill="1" applyBorder="1" applyAlignment="1" applyProtection="1">
      <alignment horizontal="center"/>
      <protection hidden="1"/>
    </xf>
    <xf numFmtId="2" fontId="1" fillId="2" borderId="2" xfId="0" applyNumberFormat="1" applyFont="1" applyFill="1" applyBorder="1" applyAlignment="1" applyProtection="1">
      <alignment horizontal="center" vertical="center"/>
      <protection hidden="1"/>
    </xf>
    <xf numFmtId="14" fontId="1" fillId="2" borderId="2" xfId="0" applyNumberFormat="1" applyFont="1" applyFill="1" applyBorder="1" applyAlignment="1" applyProtection="1">
      <alignment horizontal="center" vertical="center"/>
      <protection hidden="1"/>
    </xf>
    <xf numFmtId="2" fontId="1" fillId="2" borderId="6" xfId="0" applyNumberFormat="1" applyFont="1" applyFill="1" applyBorder="1" applyAlignment="1" applyProtection="1">
      <alignment horizontal="center" vertical="center"/>
      <protection hidden="1"/>
    </xf>
    <xf numFmtId="0" fontId="1" fillId="2" borderId="6" xfId="0" applyFont="1" applyFill="1" applyBorder="1" applyProtection="1">
      <protection hidden="1"/>
    </xf>
    <xf numFmtId="0" fontId="1" fillId="2" borderId="6" xfId="0" applyFont="1" applyFill="1" applyBorder="1" applyAlignment="1" applyProtection="1">
      <alignment horizontal="center" vertical="top" wrapText="1"/>
      <protection hidden="1"/>
    </xf>
    <xf numFmtId="0" fontId="0" fillId="2" borderId="6" xfId="0" applyFont="1" applyFill="1" applyBorder="1" applyProtection="1">
      <protection hidden="1"/>
    </xf>
    <xf numFmtId="0" fontId="7" fillId="3" borderId="5" xfId="0" applyFont="1" applyFill="1" applyBorder="1" applyAlignment="1" applyProtection="1">
      <alignment horizontal="left" vertical="center"/>
      <protection hidden="1"/>
    </xf>
    <xf numFmtId="0" fontId="7" fillId="3" borderId="5" xfId="0" applyFont="1" applyFill="1" applyBorder="1" applyAlignment="1" applyProtection="1">
      <alignment horizontal="center"/>
      <protection hidden="1"/>
    </xf>
    <xf numFmtId="0" fontId="7" fillId="3" borderId="13" xfId="0" applyFont="1" applyFill="1" applyBorder="1" applyAlignment="1" applyProtection="1">
      <alignment horizontal="left"/>
      <protection hidden="1"/>
    </xf>
    <xf numFmtId="0" fontId="7" fillId="3" borderId="1" xfId="0" applyFont="1" applyFill="1" applyBorder="1" applyAlignment="1" applyProtection="1">
      <alignment horizontal="left"/>
      <protection hidden="1"/>
    </xf>
    <xf numFmtId="0" fontId="7" fillId="3" borderId="14" xfId="0" applyFont="1" applyFill="1" applyBorder="1" applyAlignment="1" applyProtection="1">
      <alignment horizontal="left"/>
      <protection hidden="1"/>
    </xf>
    <xf numFmtId="49" fontId="0" fillId="4" borderId="2" xfId="0" applyNumberFormat="1" applyFont="1" applyFill="1" applyBorder="1" applyAlignment="1" applyProtection="1">
      <alignment horizontal="center" vertical="center"/>
      <protection hidden="1"/>
    </xf>
    <xf numFmtId="14" fontId="0" fillId="4" borderId="2" xfId="0" applyNumberFormat="1" applyFont="1" applyFill="1" applyBorder="1" applyAlignment="1" applyProtection="1">
      <alignment horizontal="center" vertical="center"/>
      <protection hidden="1"/>
    </xf>
    <xf numFmtId="49" fontId="1" fillId="2" borderId="2" xfId="0" applyNumberFormat="1" applyFont="1" applyFill="1" applyBorder="1" applyAlignment="1" applyProtection="1">
      <alignment horizontal="center" vertical="center"/>
      <protection hidden="1"/>
    </xf>
    <xf numFmtId="0" fontId="0" fillId="2" borderId="0" xfId="0" applyFont="1" applyFill="1" applyBorder="1" applyProtection="1">
      <protection hidden="1"/>
    </xf>
    <xf numFmtId="0" fontId="1" fillId="4" borderId="2" xfId="0" applyFont="1" applyFill="1" applyBorder="1" applyAlignment="1" applyProtection="1">
      <alignment vertical="center" wrapText="1"/>
      <protection locked="0"/>
    </xf>
    <xf numFmtId="0" fontId="0" fillId="0" borderId="1" xfId="0" applyFill="1" applyBorder="1" applyProtection="1"/>
    <xf numFmtId="0" fontId="1" fillId="0" borderId="2" xfId="0" applyFont="1" applyFill="1" applyBorder="1" applyAlignment="1" applyProtection="1">
      <alignment vertical="center" wrapText="1"/>
      <protection locked="0"/>
    </xf>
    <xf numFmtId="0" fontId="1" fillId="0" borderId="3" xfId="0" applyFont="1" applyFill="1" applyBorder="1" applyAlignment="1" applyProtection="1">
      <alignment vertical="center" wrapText="1"/>
      <protection locked="0"/>
    </xf>
    <xf numFmtId="0" fontId="1" fillId="0" borderId="15" xfId="0" applyFont="1" applyFill="1" applyBorder="1" applyAlignment="1" applyProtection="1">
      <alignment vertical="center" wrapText="1"/>
      <protection locked="0"/>
    </xf>
    <xf numFmtId="0" fontId="1" fillId="0" borderId="15" xfId="0" applyFont="1" applyFill="1" applyBorder="1" applyAlignment="1" applyProtection="1">
      <alignment horizontal="left" vertical="center" wrapText="1"/>
      <protection locked="0"/>
    </xf>
    <xf numFmtId="0" fontId="1" fillId="0" borderId="5" xfId="0" applyFont="1" applyFill="1" applyBorder="1" applyAlignment="1" applyProtection="1">
      <alignment vertical="center" wrapText="1"/>
      <protection locked="0"/>
    </xf>
    <xf numFmtId="0" fontId="0" fillId="0" borderId="2" xfId="0" applyFont="1" applyFill="1" applyBorder="1" applyProtection="1">
      <protection locked="0"/>
    </xf>
    <xf numFmtId="0" fontId="0" fillId="2" borderId="2" xfId="0" applyFont="1" applyFill="1" applyBorder="1" applyProtection="1">
      <protection locked="0"/>
    </xf>
    <xf numFmtId="0" fontId="0" fillId="2" borderId="0" xfId="0" applyFill="1" applyProtection="1"/>
    <xf numFmtId="0" fontId="0" fillId="4" borderId="1" xfId="0" applyFill="1" applyBorder="1" applyProtection="1"/>
    <xf numFmtId="0" fontId="0" fillId="2" borderId="0" xfId="0" applyFont="1" applyFill="1" applyProtection="1">
      <protection locked="0"/>
    </xf>
    <xf numFmtId="0" fontId="85" fillId="0" borderId="0" xfId="0" applyFont="1" applyProtection="1"/>
    <xf numFmtId="0" fontId="85" fillId="0" borderId="0" xfId="0" applyFont="1"/>
    <xf numFmtId="0" fontId="86" fillId="3" borderId="0" xfId="0" applyFont="1" applyFill="1" applyBorder="1" applyAlignment="1" applyProtection="1">
      <alignment vertical="center"/>
    </xf>
    <xf numFmtId="0" fontId="86" fillId="3" borderId="0" xfId="0" applyFont="1" applyFill="1" applyBorder="1" applyAlignment="1" applyProtection="1">
      <alignment vertical="top"/>
    </xf>
    <xf numFmtId="0" fontId="87" fillId="3" borderId="0" xfId="0" applyFont="1" applyFill="1" applyBorder="1" applyProtection="1"/>
    <xf numFmtId="1" fontId="86" fillId="3" borderId="0" xfId="0" applyNumberFormat="1" applyFont="1" applyFill="1" applyBorder="1" applyAlignment="1" applyProtection="1">
      <alignment vertical="top"/>
    </xf>
    <xf numFmtId="14" fontId="86" fillId="3" borderId="0" xfId="0" applyNumberFormat="1" applyFont="1" applyFill="1" applyBorder="1" applyAlignment="1" applyProtection="1">
      <alignment vertical="top"/>
    </xf>
    <xf numFmtId="0" fontId="85" fillId="0" borderId="0" xfId="0" applyFont="1" applyBorder="1"/>
    <xf numFmtId="0" fontId="85" fillId="0" borderId="0" xfId="0" applyFont="1" applyBorder="1" applyProtection="1"/>
    <xf numFmtId="0" fontId="88" fillId="0" borderId="0" xfId="0" applyFont="1" applyBorder="1" applyProtection="1"/>
    <xf numFmtId="0" fontId="89" fillId="0" borderId="0" xfId="0" applyFont="1" applyBorder="1" applyAlignment="1" applyProtection="1">
      <alignment horizontal="center"/>
    </xf>
    <xf numFmtId="0" fontId="32" fillId="0" borderId="0" xfId="0" applyFont="1" applyBorder="1" applyProtection="1"/>
    <xf numFmtId="0" fontId="19" fillId="3" borderId="0" xfId="0" applyFont="1" applyFill="1" applyBorder="1" applyAlignment="1" applyProtection="1">
      <alignment horizontal="right" vertical="top"/>
      <protection hidden="1"/>
    </xf>
    <xf numFmtId="0" fontId="83" fillId="3" borderId="1" xfId="0" applyFont="1" applyFill="1" applyBorder="1" applyAlignment="1" applyProtection="1">
      <alignment horizontal="right" vertical="top"/>
      <protection hidden="1"/>
    </xf>
    <xf numFmtId="0" fontId="21" fillId="3" borderId="79" xfId="0" applyFont="1" applyFill="1" applyBorder="1" applyAlignment="1" applyProtection="1">
      <alignment horizontal="right" vertical="top"/>
      <protection hidden="1"/>
    </xf>
    <xf numFmtId="0" fontId="90" fillId="3" borderId="0" xfId="0" applyFont="1" applyFill="1" applyBorder="1" applyAlignment="1" applyProtection="1">
      <alignment horizontal="right" vertical="top"/>
    </xf>
    <xf numFmtId="0" fontId="31" fillId="3" borderId="0" xfId="0" applyFont="1" applyFill="1" applyBorder="1" applyAlignment="1" applyProtection="1">
      <alignment horizontal="right" vertical="top" wrapText="1"/>
      <protection hidden="1"/>
    </xf>
    <xf numFmtId="0" fontId="19" fillId="3" borderId="1" xfId="0" applyFont="1" applyFill="1" applyBorder="1" applyAlignment="1" applyProtection="1">
      <alignment horizontal="right" vertical="top" wrapText="1"/>
    </xf>
    <xf numFmtId="0" fontId="44" fillId="2" borderId="1" xfId="0" applyFont="1" applyFill="1" applyBorder="1" applyAlignment="1" applyProtection="1">
      <alignment wrapText="1"/>
    </xf>
    <xf numFmtId="0" fontId="44" fillId="2" borderId="41" xfId="0" applyFont="1" applyFill="1" applyBorder="1" applyAlignment="1" applyProtection="1">
      <alignment wrapText="1"/>
    </xf>
    <xf numFmtId="0" fontId="26" fillId="4" borderId="50" xfId="0" applyFont="1" applyFill="1" applyBorder="1" applyAlignment="1" applyProtection="1">
      <alignment horizontal="left" vertical="center" wrapText="1"/>
      <protection locked="0"/>
    </xf>
    <xf numFmtId="0" fontId="26" fillId="5" borderId="136" xfId="0" applyFont="1" applyFill="1" applyBorder="1" applyAlignment="1" applyProtection="1">
      <alignment horizontal="left" vertical="center" wrapText="1"/>
      <protection locked="0"/>
    </xf>
    <xf numFmtId="0" fontId="26" fillId="4" borderId="48" xfId="0" applyFont="1" applyFill="1" applyBorder="1" applyAlignment="1" applyProtection="1">
      <alignment horizontal="left" vertical="center" wrapText="1"/>
      <protection locked="0"/>
    </xf>
    <xf numFmtId="0" fontId="58" fillId="0" borderId="5" xfId="0" applyFont="1" applyBorder="1"/>
    <xf numFmtId="0" fontId="0" fillId="0" borderId="22" xfId="0" applyBorder="1"/>
    <xf numFmtId="0" fontId="23" fillId="10" borderId="2" xfId="0" applyFont="1" applyFill="1" applyBorder="1"/>
    <xf numFmtId="0" fontId="23" fillId="6" borderId="48" xfId="0" applyFont="1" applyFill="1" applyBorder="1" applyAlignment="1" applyProtection="1">
      <alignment horizontal="center" vertical="center"/>
      <protection locked="0"/>
    </xf>
    <xf numFmtId="0" fontId="0" fillId="8" borderId="0" xfId="0" applyFont="1" applyFill="1" applyBorder="1" applyProtection="1">
      <protection hidden="1"/>
    </xf>
    <xf numFmtId="0" fontId="0" fillId="12" borderId="2" xfId="0" applyFill="1" applyBorder="1" applyProtection="1">
      <protection hidden="1"/>
    </xf>
    <xf numFmtId="0" fontId="23" fillId="10" borderId="0" xfId="0" applyFont="1" applyFill="1" applyBorder="1"/>
    <xf numFmtId="0" fontId="0" fillId="0" borderId="0" xfId="0" applyBorder="1"/>
    <xf numFmtId="0" fontId="0" fillId="18" borderId="2" xfId="0" applyFill="1" applyBorder="1" applyProtection="1">
      <protection hidden="1"/>
    </xf>
    <xf numFmtId="0" fontId="3" fillId="12" borderId="2" xfId="0" applyFont="1" applyFill="1" applyBorder="1" applyProtection="1">
      <protection hidden="1"/>
    </xf>
    <xf numFmtId="0" fontId="0" fillId="18" borderId="0" xfId="0" applyFill="1"/>
    <xf numFmtId="0" fontId="0" fillId="12" borderId="0" xfId="0" applyFill="1"/>
    <xf numFmtId="0" fontId="0" fillId="2" borderId="5" xfId="0" applyFill="1" applyBorder="1" applyProtection="1">
      <protection hidden="1"/>
    </xf>
    <xf numFmtId="0" fontId="0" fillId="2" borderId="59" xfId="0" applyFill="1" applyBorder="1" applyProtection="1">
      <protection hidden="1"/>
    </xf>
    <xf numFmtId="0" fontId="42" fillId="0" borderId="2" xfId="0" applyFont="1" applyBorder="1" applyProtection="1"/>
    <xf numFmtId="0" fontId="91" fillId="10" borderId="64" xfId="0" applyFont="1" applyFill="1" applyBorder="1" applyProtection="1"/>
    <xf numFmtId="0" fontId="0" fillId="2" borderId="54" xfId="0" applyFill="1" applyBorder="1" applyProtection="1">
      <protection hidden="1"/>
    </xf>
    <xf numFmtId="0" fontId="0" fillId="2" borderId="3" xfId="0" applyFill="1" applyBorder="1" applyProtection="1">
      <protection hidden="1"/>
    </xf>
    <xf numFmtId="0" fontId="42" fillId="0" borderId="5" xfId="0" applyFont="1" applyBorder="1" applyProtection="1"/>
    <xf numFmtId="0" fontId="42" fillId="0" borderId="3" xfId="0" applyFont="1" applyBorder="1" applyProtection="1"/>
    <xf numFmtId="0" fontId="42" fillId="0" borderId="54" xfId="0" applyFont="1" applyBorder="1" applyProtection="1"/>
    <xf numFmtId="0" fontId="0" fillId="0" borderId="80" xfId="0" applyBorder="1" applyProtection="1"/>
    <xf numFmtId="0" fontId="0" fillId="2" borderId="81" xfId="0" applyFill="1" applyBorder="1" applyProtection="1">
      <protection hidden="1"/>
    </xf>
    <xf numFmtId="0" fontId="32" fillId="9" borderId="54" xfId="0" applyFont="1" applyFill="1" applyBorder="1" applyProtection="1"/>
    <xf numFmtId="0" fontId="24" fillId="0" borderId="0" xfId="0" applyFont="1" applyProtection="1"/>
    <xf numFmtId="0" fontId="92" fillId="3" borderId="0" xfId="0" applyFont="1" applyFill="1" applyAlignment="1" applyProtection="1">
      <alignment horizontal="center"/>
      <protection hidden="1"/>
    </xf>
    <xf numFmtId="0" fontId="92" fillId="3" borderId="0" xfId="0" applyFont="1" applyFill="1" applyAlignment="1" applyProtection="1">
      <alignment horizontal="left"/>
      <protection hidden="1"/>
    </xf>
    <xf numFmtId="0" fontId="0" fillId="12" borderId="7" xfId="0" applyFill="1" applyBorder="1" applyProtection="1">
      <protection hidden="1"/>
    </xf>
    <xf numFmtId="0" fontId="0" fillId="2" borderId="7" xfId="0" applyFill="1" applyBorder="1" applyProtection="1">
      <protection hidden="1"/>
    </xf>
    <xf numFmtId="0" fontId="0" fillId="20" borderId="5" xfId="0" applyFill="1" applyBorder="1" applyProtection="1"/>
    <xf numFmtId="0" fontId="0" fillId="20" borderId="0" xfId="0" applyFill="1" applyProtection="1"/>
    <xf numFmtId="0" fontId="0" fillId="8" borderId="5" xfId="0" applyFill="1" applyBorder="1" applyProtection="1"/>
    <xf numFmtId="0" fontId="44" fillId="2" borderId="1" xfId="0" applyFont="1" applyFill="1" applyBorder="1" applyAlignment="1" applyProtection="1">
      <alignment horizontal="center" wrapText="1"/>
    </xf>
    <xf numFmtId="0" fontId="0" fillId="0" borderId="5" xfId="0" applyFont="1" applyBorder="1" applyProtection="1"/>
    <xf numFmtId="0" fontId="0" fillId="0" borderId="2" xfId="0" applyFont="1" applyBorder="1" applyProtection="1"/>
    <xf numFmtId="0" fontId="23" fillId="10" borderId="21" xfId="0" applyFont="1" applyFill="1" applyBorder="1" applyProtection="1"/>
    <xf numFmtId="0" fontId="23" fillId="10" borderId="68" xfId="0" applyFont="1" applyFill="1" applyBorder="1" applyProtection="1"/>
    <xf numFmtId="0" fontId="0" fillId="21" borderId="0" xfId="0" applyFill="1" applyProtection="1"/>
    <xf numFmtId="0" fontId="0" fillId="8" borderId="0" xfId="0" applyFill="1" applyProtection="1"/>
    <xf numFmtId="0" fontId="23" fillId="10" borderId="2" xfId="0" applyFont="1" applyFill="1" applyBorder="1" applyAlignment="1" applyProtection="1">
      <alignment wrapText="1"/>
    </xf>
    <xf numFmtId="0" fontId="52" fillId="4" borderId="50" xfId="0" applyFont="1" applyFill="1" applyBorder="1" applyAlignment="1" applyProtection="1">
      <alignment horizontal="left" vertical="center" wrapText="1"/>
      <protection locked="0"/>
    </xf>
    <xf numFmtId="0" fontId="93" fillId="4" borderId="50" xfId="0" applyFont="1" applyFill="1" applyBorder="1" applyAlignment="1" applyProtection="1">
      <alignment horizontal="left" vertical="center" wrapText="1"/>
      <protection locked="0"/>
    </xf>
    <xf numFmtId="0" fontId="44" fillId="2" borderId="48" xfId="0" applyFont="1" applyFill="1" applyBorder="1" applyAlignment="1" applyProtection="1">
      <alignment horizontal="center" vertical="top" wrapText="1"/>
    </xf>
    <xf numFmtId="0" fontId="23" fillId="10" borderId="0" xfId="0" applyFont="1" applyFill="1" applyAlignment="1" applyProtection="1">
      <alignment wrapText="1"/>
    </xf>
    <xf numFmtId="1" fontId="0" fillId="0" borderId="56" xfId="0" applyNumberFormat="1" applyFill="1" applyBorder="1" applyAlignment="1" applyProtection="1">
      <alignment horizontal="right"/>
    </xf>
    <xf numFmtId="0" fontId="56" fillId="2" borderId="5" xfId="0" applyFont="1" applyFill="1" applyBorder="1" applyAlignment="1" applyProtection="1">
      <alignment horizontal="center"/>
      <protection hidden="1"/>
    </xf>
    <xf numFmtId="0" fontId="0" fillId="4" borderId="15" xfId="0" applyFill="1" applyBorder="1" applyAlignment="1" applyProtection="1">
      <alignment horizontal="center" vertical="top"/>
      <protection hidden="1"/>
    </xf>
    <xf numFmtId="0" fontId="1" fillId="0" borderId="15" xfId="0" applyFont="1" applyFill="1" applyBorder="1" applyAlignment="1" applyProtection="1">
      <alignment horizontal="left" vertical="center"/>
      <protection hidden="1"/>
    </xf>
    <xf numFmtId="164" fontId="9" fillId="0" borderId="15" xfId="2" applyNumberFormat="1" applyFont="1" applyFill="1" applyBorder="1" applyAlignment="1" applyProtection="1">
      <alignment horizontal="left" vertical="center"/>
      <protection hidden="1"/>
    </xf>
    <xf numFmtId="0" fontId="1" fillId="0" borderId="5" xfId="0" applyFont="1" applyFill="1" applyBorder="1" applyAlignment="1" applyProtection="1">
      <alignment vertical="center"/>
      <protection hidden="1"/>
    </xf>
    <xf numFmtId="0" fontId="0" fillId="5" borderId="15" xfId="0" applyFont="1" applyFill="1" applyBorder="1" applyAlignment="1" applyProtection="1">
      <protection hidden="1"/>
    </xf>
    <xf numFmtId="0" fontId="0" fillId="5" borderId="5" xfId="0" applyFont="1" applyFill="1" applyBorder="1" applyAlignment="1" applyProtection="1">
      <protection hidden="1"/>
    </xf>
    <xf numFmtId="0" fontId="0" fillId="0" borderId="12" xfId="0" applyFont="1" applyFill="1" applyBorder="1" applyAlignment="1" applyProtection="1">
      <alignment horizontal="center" vertical="top" wrapText="1"/>
      <protection hidden="1"/>
    </xf>
    <xf numFmtId="0" fontId="23" fillId="0" borderId="0" xfId="0" applyFont="1" applyFill="1" applyBorder="1" applyAlignment="1" applyProtection="1">
      <alignment horizontal="left" vertical="center"/>
      <protection hidden="1"/>
    </xf>
    <xf numFmtId="0" fontId="26" fillId="0" borderId="0" xfId="0" applyFont="1" applyFill="1" applyBorder="1" applyAlignment="1" applyProtection="1">
      <alignment horizontal="left" vertical="center"/>
      <protection hidden="1"/>
    </xf>
    <xf numFmtId="0" fontId="0" fillId="0" borderId="0" xfId="0" applyFill="1" applyBorder="1" applyAlignment="1" applyProtection="1">
      <alignment horizontal="left" vertical="center"/>
      <protection hidden="1"/>
    </xf>
    <xf numFmtId="0" fontId="0" fillId="0" borderId="0" xfId="0" applyFill="1" applyBorder="1" applyAlignment="1" applyProtection="1">
      <protection hidden="1"/>
    </xf>
    <xf numFmtId="0" fontId="23" fillId="5" borderId="12" xfId="0" applyFont="1" applyFill="1" applyBorder="1" applyAlignment="1" applyProtection="1">
      <alignment horizontal="left" vertical="center" wrapText="1"/>
      <protection hidden="1"/>
    </xf>
    <xf numFmtId="0" fontId="29" fillId="2" borderId="135" xfId="0" applyFont="1" applyFill="1" applyBorder="1" applyAlignment="1" applyProtection="1">
      <alignment horizontal="center" vertical="top" wrapText="1"/>
    </xf>
    <xf numFmtId="0" fontId="0" fillId="4" borderId="0" xfId="0" applyFill="1" applyBorder="1" applyAlignment="1" applyProtection="1">
      <alignment wrapText="1"/>
      <protection locked="0"/>
    </xf>
    <xf numFmtId="0" fontId="0" fillId="18" borderId="2" xfId="0" applyFill="1" applyBorder="1" applyProtection="1"/>
    <xf numFmtId="0" fontId="0" fillId="18" borderId="56" xfId="0" applyFill="1" applyBorder="1" applyProtection="1"/>
    <xf numFmtId="0" fontId="24" fillId="18" borderId="2" xfId="0" applyFont="1" applyFill="1" applyBorder="1" applyProtection="1"/>
    <xf numFmtId="0" fontId="0" fillId="18" borderId="66" xfId="0" applyFill="1" applyBorder="1" applyProtection="1"/>
    <xf numFmtId="0" fontId="0" fillId="18" borderId="3" xfId="0" applyFill="1" applyBorder="1" applyProtection="1"/>
    <xf numFmtId="0" fontId="0" fillId="18" borderId="85" xfId="0" applyFill="1" applyBorder="1" applyProtection="1"/>
    <xf numFmtId="0" fontId="0" fillId="18" borderId="15" xfId="0" applyFill="1" applyBorder="1" applyProtection="1"/>
    <xf numFmtId="0" fontId="24" fillId="0" borderId="15" xfId="0" applyFont="1" applyFill="1" applyBorder="1" applyProtection="1"/>
    <xf numFmtId="0" fontId="0" fillId="0" borderId="61" xfId="0" applyFill="1" applyBorder="1" applyProtection="1"/>
    <xf numFmtId="0" fontId="0" fillId="0" borderId="5" xfId="0" applyFill="1" applyBorder="1" applyProtection="1"/>
    <xf numFmtId="0" fontId="32" fillId="13" borderId="84" xfId="0" applyFont="1" applyFill="1" applyBorder="1" applyProtection="1"/>
    <xf numFmtId="0" fontId="32" fillId="13" borderId="116" xfId="0" applyFont="1" applyFill="1" applyBorder="1" applyProtection="1"/>
    <xf numFmtId="0" fontId="0" fillId="5" borderId="138" xfId="0" applyFont="1" applyFill="1" applyBorder="1" applyAlignment="1" applyProtection="1">
      <alignment horizontal="left" vertical="center"/>
    </xf>
    <xf numFmtId="0" fontId="26" fillId="5" borderId="139" xfId="0" applyFont="1" applyFill="1" applyBorder="1" applyAlignment="1" applyProtection="1">
      <alignment horizontal="center" vertical="center"/>
    </xf>
    <xf numFmtId="0" fontId="26" fillId="4" borderId="137" xfId="0" applyFont="1" applyFill="1" applyBorder="1" applyAlignment="1" applyProtection="1">
      <alignment horizontal="left" vertical="center" wrapText="1"/>
      <protection locked="0"/>
    </xf>
    <xf numFmtId="0" fontId="26" fillId="4" borderId="135" xfId="0" applyFont="1" applyFill="1" applyBorder="1" applyAlignment="1" applyProtection="1">
      <alignment horizontal="left" vertical="center" wrapText="1"/>
      <protection locked="0"/>
    </xf>
    <xf numFmtId="0" fontId="0" fillId="0" borderId="55" xfId="0" applyFill="1" applyBorder="1" applyProtection="1"/>
    <xf numFmtId="0" fontId="0" fillId="0" borderId="57" xfId="0" applyFill="1" applyBorder="1" applyProtection="1"/>
    <xf numFmtId="0" fontId="0" fillId="0" borderId="60" xfId="0" applyFill="1" applyBorder="1" applyProtection="1"/>
    <xf numFmtId="0" fontId="0" fillId="8" borderId="58" xfId="0" applyFill="1" applyBorder="1" applyProtection="1"/>
    <xf numFmtId="0" fontId="26" fillId="18" borderId="2" xfId="0" applyFont="1" applyFill="1" applyBorder="1" applyAlignment="1" applyProtection="1">
      <alignment horizontal="center" vertical="center"/>
    </xf>
    <xf numFmtId="1" fontId="0" fillId="18" borderId="55" xfId="0" applyNumberFormat="1" applyFill="1" applyBorder="1" applyProtection="1"/>
    <xf numFmtId="1" fontId="0" fillId="18" borderId="57" xfId="0" applyNumberFormat="1" applyFill="1" applyBorder="1" applyProtection="1"/>
    <xf numFmtId="1" fontId="0" fillId="18" borderId="60" xfId="0" applyNumberFormat="1" applyFill="1" applyBorder="1" applyProtection="1"/>
    <xf numFmtId="0" fontId="94" fillId="2" borderId="1" xfId="0" applyFont="1" applyFill="1" applyBorder="1" applyProtection="1">
      <protection hidden="1"/>
    </xf>
    <xf numFmtId="0" fontId="31" fillId="3" borderId="0" xfId="0" applyFont="1" applyFill="1" applyBorder="1" applyAlignment="1" applyProtection="1">
      <alignment vertical="center"/>
    </xf>
    <xf numFmtId="0" fontId="19" fillId="3" borderId="0" xfId="0" applyFont="1" applyFill="1" applyBorder="1" applyAlignment="1" applyProtection="1">
      <alignment horizontal="left" vertical="top"/>
      <protection hidden="1"/>
    </xf>
    <xf numFmtId="0" fontId="0" fillId="12" borderId="0" xfId="0" applyFill="1" applyBorder="1" applyProtection="1">
      <protection hidden="1"/>
    </xf>
    <xf numFmtId="0" fontId="0" fillId="8" borderId="66" xfId="0" applyFill="1" applyBorder="1" applyProtection="1"/>
    <xf numFmtId="0" fontId="0" fillId="12" borderId="85" xfId="0" applyFill="1" applyBorder="1" applyProtection="1"/>
    <xf numFmtId="0" fontId="32" fillId="0" borderId="2" xfId="0" applyFont="1" applyFill="1" applyBorder="1" applyProtection="1">
      <protection hidden="1"/>
    </xf>
    <xf numFmtId="0" fontId="0" fillId="0" borderId="66" xfId="0" applyFill="1" applyBorder="1" applyProtection="1"/>
    <xf numFmtId="0" fontId="0" fillId="8" borderId="53" xfId="0" applyFill="1" applyBorder="1" applyProtection="1"/>
    <xf numFmtId="0" fontId="0" fillId="0" borderId="3" xfId="0" applyFill="1" applyBorder="1" applyProtection="1"/>
    <xf numFmtId="0" fontId="26" fillId="4" borderId="7" xfId="0" applyFont="1" applyFill="1" applyBorder="1" applyAlignment="1" applyProtection="1">
      <alignment horizontal="center" vertical="center" wrapText="1"/>
      <protection locked="0"/>
    </xf>
    <xf numFmtId="0" fontId="83" fillId="4" borderId="0" xfId="0" applyFont="1" applyFill="1" applyBorder="1" applyAlignment="1" applyProtection="1">
      <alignment vertical="top" wrapText="1"/>
      <protection hidden="1"/>
    </xf>
    <xf numFmtId="0" fontId="23" fillId="2" borderId="0" xfId="0" applyFont="1" applyFill="1" applyBorder="1" applyProtection="1">
      <protection hidden="1"/>
    </xf>
    <xf numFmtId="0" fontId="97" fillId="2" borderId="0" xfId="0" applyFont="1" applyFill="1" applyBorder="1" applyAlignment="1" applyProtection="1">
      <alignment horizontal="left" wrapText="1"/>
      <protection locked="0" hidden="1"/>
    </xf>
    <xf numFmtId="0" fontId="26" fillId="4" borderId="36" xfId="0" applyFont="1" applyFill="1" applyBorder="1" applyAlignment="1" applyProtection="1">
      <alignment horizontal="left" vertical="top" wrapText="1"/>
      <protection locked="0"/>
    </xf>
    <xf numFmtId="0" fontId="49" fillId="2" borderId="41" xfId="0" applyFont="1" applyFill="1" applyBorder="1" applyAlignment="1" applyProtection="1">
      <alignment horizontal="center" vertical="top" wrapText="1"/>
    </xf>
    <xf numFmtId="0" fontId="0" fillId="4" borderId="40" xfId="0" applyFill="1" applyBorder="1" applyAlignment="1" applyProtection="1">
      <alignment vertical="top" wrapText="1"/>
    </xf>
    <xf numFmtId="0" fontId="23" fillId="6" borderId="48" xfId="0" applyFont="1" applyFill="1" applyBorder="1" applyAlignment="1" applyProtection="1">
      <alignment horizontal="left" vertical="top" wrapText="1"/>
      <protection locked="0"/>
    </xf>
    <xf numFmtId="0" fontId="23" fillId="6" borderId="1" xfId="0" applyFont="1" applyFill="1" applyBorder="1" applyAlignment="1" applyProtection="1">
      <alignment horizontal="left" vertical="top" wrapText="1"/>
      <protection locked="0"/>
    </xf>
    <xf numFmtId="0" fontId="23" fillId="6" borderId="41" xfId="0" applyFont="1" applyFill="1" applyBorder="1" applyAlignment="1" applyProtection="1">
      <alignment horizontal="left" vertical="top" wrapText="1"/>
      <protection locked="0"/>
    </xf>
    <xf numFmtId="0" fontId="26" fillId="4" borderId="4" xfId="0" applyFont="1" applyFill="1" applyBorder="1" applyAlignment="1" applyProtection="1">
      <alignment horizontal="left" vertical="top" wrapText="1"/>
      <protection locked="0"/>
    </xf>
    <xf numFmtId="0" fontId="26" fillId="4" borderId="2" xfId="0" applyFont="1" applyFill="1" applyBorder="1" applyAlignment="1" applyProtection="1">
      <alignment horizontal="left" vertical="top" wrapText="1"/>
      <protection locked="0"/>
    </xf>
    <xf numFmtId="0" fontId="26" fillId="5" borderId="95" xfId="0" applyFont="1" applyFill="1" applyBorder="1" applyAlignment="1" applyProtection="1">
      <alignment horizontal="left" vertical="top" wrapText="1"/>
      <protection locked="0"/>
    </xf>
    <xf numFmtId="0" fontId="26" fillId="5" borderId="94" xfId="0" applyFont="1" applyFill="1" applyBorder="1" applyAlignment="1" applyProtection="1">
      <alignment horizontal="left" vertical="top" wrapText="1"/>
      <protection locked="0"/>
    </xf>
    <xf numFmtId="0" fontId="26" fillId="5" borderId="94" xfId="0" applyFont="1" applyFill="1" applyBorder="1" applyAlignment="1" applyProtection="1">
      <alignment horizontal="center" vertical="top" wrapText="1"/>
      <protection locked="0"/>
    </xf>
    <xf numFmtId="0" fontId="0" fillId="2" borderId="0" xfId="0" applyFill="1" applyBorder="1" applyAlignment="1" applyProtection="1">
      <alignment horizontal="left" vertical="top" wrapText="1"/>
      <protection locked="0"/>
    </xf>
    <xf numFmtId="0" fontId="0" fillId="2" borderId="0" xfId="0" applyFill="1" applyBorder="1" applyAlignment="1" applyProtection="1">
      <alignment vertical="top" wrapText="1"/>
      <protection locked="0"/>
    </xf>
    <xf numFmtId="0" fontId="23" fillId="6" borderId="1" xfId="0" applyFont="1" applyFill="1" applyBorder="1" applyAlignment="1" applyProtection="1">
      <alignment vertical="top" wrapText="1"/>
      <protection locked="0"/>
    </xf>
    <xf numFmtId="0" fontId="23" fillId="6" borderId="49" xfId="0" applyFont="1" applyFill="1" applyBorder="1" applyAlignment="1" applyProtection="1">
      <alignment horizontal="left" vertical="top" wrapText="1"/>
      <protection locked="0"/>
    </xf>
    <xf numFmtId="0" fontId="23" fillId="6" borderId="45" xfId="0" applyFont="1" applyFill="1" applyBorder="1" applyAlignment="1" applyProtection="1">
      <alignment horizontal="left" vertical="top" wrapText="1"/>
      <protection locked="0"/>
    </xf>
    <xf numFmtId="0" fontId="23" fillId="6" borderId="45" xfId="0" applyFont="1" applyFill="1" applyBorder="1" applyAlignment="1" applyProtection="1">
      <alignment vertical="top" wrapText="1"/>
      <protection locked="0"/>
    </xf>
    <xf numFmtId="0" fontId="23" fillId="6" borderId="39" xfId="0" applyFont="1" applyFill="1" applyBorder="1" applyAlignment="1" applyProtection="1">
      <alignment horizontal="left" vertical="top" wrapText="1"/>
      <protection locked="0"/>
    </xf>
    <xf numFmtId="0" fontId="26" fillId="5" borderId="92" xfId="0" applyFont="1" applyFill="1" applyBorder="1" applyAlignment="1" applyProtection="1">
      <alignment horizontal="center" vertical="top" wrapText="1"/>
      <protection locked="0"/>
    </xf>
    <xf numFmtId="0" fontId="0" fillId="2" borderId="0" xfId="0" applyFill="1" applyBorder="1" applyAlignment="1" applyProtection="1">
      <alignment vertical="top" wrapText="1"/>
      <protection hidden="1"/>
    </xf>
    <xf numFmtId="0" fontId="0" fillId="2" borderId="0" xfId="0" applyFill="1" applyAlignment="1" applyProtection="1">
      <alignment vertical="top" wrapText="1"/>
      <protection hidden="1"/>
    </xf>
    <xf numFmtId="0" fontId="23" fillId="4" borderId="0" xfId="0" applyFont="1" applyFill="1" applyAlignment="1" applyProtection="1">
      <alignment horizontal="right" vertical="top" wrapText="1"/>
      <protection hidden="1"/>
    </xf>
    <xf numFmtId="0" fontId="0" fillId="4" borderId="0" xfId="0" applyFill="1" applyAlignment="1" applyProtection="1">
      <alignment vertical="top" wrapText="1"/>
      <protection hidden="1"/>
    </xf>
    <xf numFmtId="0" fontId="0" fillId="2" borderId="0" xfId="0" applyFill="1" applyAlignment="1" applyProtection="1">
      <alignment vertical="top" wrapText="1"/>
      <protection locked="0" hidden="1"/>
    </xf>
    <xf numFmtId="0" fontId="12" fillId="2" borderId="0" xfId="0" applyFont="1" applyFill="1" applyAlignment="1" applyProtection="1">
      <alignment horizontal="center" vertical="top" wrapText="1"/>
      <protection locked="0" hidden="1"/>
    </xf>
    <xf numFmtId="0" fontId="0" fillId="0" borderId="0" xfId="0" applyAlignment="1" applyProtection="1">
      <alignment wrapText="1"/>
    </xf>
    <xf numFmtId="0" fontId="32" fillId="0" borderId="0" xfId="0" applyFont="1" applyAlignment="1" applyProtection="1">
      <alignment wrapText="1"/>
    </xf>
    <xf numFmtId="1" fontId="0" fillId="0" borderId="0" xfId="0" applyNumberFormat="1" applyAlignment="1" applyProtection="1">
      <alignment wrapText="1"/>
    </xf>
    <xf numFmtId="14" fontId="0" fillId="0" borderId="0" xfId="0" applyNumberFormat="1" applyAlignment="1" applyProtection="1">
      <alignment wrapText="1"/>
    </xf>
    <xf numFmtId="0" fontId="23" fillId="10" borderId="64" xfId="0" applyFont="1" applyFill="1" applyBorder="1" applyAlignment="1" applyProtection="1">
      <alignment horizontal="center" wrapText="1"/>
    </xf>
    <xf numFmtId="0" fontId="23" fillId="10" borderId="65" xfId="0" applyFont="1" applyFill="1" applyBorder="1" applyAlignment="1" applyProtection="1">
      <alignment horizontal="center" wrapText="1"/>
    </xf>
    <xf numFmtId="0" fontId="95" fillId="12" borderId="2" xfId="0" applyFont="1" applyFill="1" applyBorder="1" applyAlignment="1" applyProtection="1">
      <alignment wrapText="1"/>
    </xf>
    <xf numFmtId="0" fontId="95" fillId="12" borderId="57" xfId="0" applyFont="1" applyFill="1" applyBorder="1" applyAlignment="1" applyProtection="1">
      <alignment wrapText="1"/>
    </xf>
    <xf numFmtId="0" fontId="0" fillId="12" borderId="2" xfId="0" applyFill="1" applyBorder="1" applyAlignment="1" applyProtection="1">
      <alignment wrapText="1"/>
    </xf>
    <xf numFmtId="0" fontId="0" fillId="12" borderId="57" xfId="0" applyFill="1" applyBorder="1" applyAlignment="1" applyProtection="1">
      <alignment wrapText="1"/>
    </xf>
    <xf numFmtId="0" fontId="0" fillId="12" borderId="3" xfId="0" applyFill="1" applyBorder="1" applyAlignment="1" applyProtection="1">
      <alignment wrapText="1"/>
    </xf>
    <xf numFmtId="0" fontId="0" fillId="12" borderId="67" xfId="0" applyFill="1" applyBorder="1" applyAlignment="1" applyProtection="1">
      <alignment wrapText="1"/>
    </xf>
    <xf numFmtId="0" fontId="32" fillId="13" borderId="64" xfId="0" applyFont="1" applyFill="1" applyBorder="1" applyAlignment="1" applyProtection="1">
      <alignment wrapText="1"/>
    </xf>
    <xf numFmtId="0" fontId="32" fillId="13" borderId="84" xfId="0" applyFont="1" applyFill="1" applyBorder="1" applyAlignment="1" applyProtection="1">
      <alignment wrapText="1"/>
    </xf>
    <xf numFmtId="0" fontId="0" fillId="12" borderId="2" xfId="0" applyFont="1" applyFill="1" applyBorder="1" applyAlignment="1" applyProtection="1">
      <alignment wrapText="1"/>
    </xf>
    <xf numFmtId="0" fontId="0" fillId="12" borderId="54" xfId="0" applyFill="1" applyBorder="1" applyAlignment="1" applyProtection="1">
      <alignment wrapText="1"/>
    </xf>
    <xf numFmtId="0" fontId="0" fillId="12" borderId="55" xfId="0" applyFill="1" applyBorder="1" applyAlignment="1" applyProtection="1">
      <alignment wrapText="1"/>
    </xf>
    <xf numFmtId="0" fontId="0" fillId="12" borderId="59" xfId="0" applyFill="1" applyBorder="1" applyAlignment="1" applyProtection="1">
      <alignment wrapText="1"/>
    </xf>
    <xf numFmtId="0" fontId="0" fillId="12" borderId="60" xfId="0" applyFill="1" applyBorder="1" applyAlignment="1" applyProtection="1">
      <alignment wrapText="1"/>
    </xf>
    <xf numFmtId="0" fontId="24" fillId="0" borderId="0" xfId="0" applyFont="1" applyAlignment="1" applyProtection="1">
      <alignment wrapText="1"/>
    </xf>
    <xf numFmtId="0" fontId="23" fillId="10" borderId="64" xfId="0" applyFont="1" applyFill="1" applyBorder="1" applyAlignment="1" applyProtection="1">
      <alignment wrapText="1"/>
    </xf>
    <xf numFmtId="0" fontId="23" fillId="10" borderId="65" xfId="0" applyFont="1" applyFill="1" applyBorder="1" applyAlignment="1" applyProtection="1">
      <alignment wrapText="1"/>
    </xf>
    <xf numFmtId="0" fontId="0" fillId="0" borderId="5" xfId="0" applyBorder="1" applyAlignment="1" applyProtection="1">
      <alignment wrapText="1"/>
    </xf>
    <xf numFmtId="0" fontId="0" fillId="0" borderId="62" xfId="0" applyBorder="1" applyAlignment="1" applyProtection="1">
      <alignment wrapText="1"/>
    </xf>
    <xf numFmtId="0" fontId="0" fillId="0" borderId="2" xfId="0" applyBorder="1" applyAlignment="1" applyProtection="1">
      <alignment wrapText="1"/>
    </xf>
    <xf numFmtId="0" fontId="0" fillId="0" borderId="57" xfId="0" applyBorder="1" applyAlignment="1" applyProtection="1">
      <alignment wrapText="1"/>
    </xf>
    <xf numFmtId="0" fontId="0" fillId="0" borderId="59" xfId="0" applyBorder="1" applyAlignment="1" applyProtection="1">
      <alignment wrapText="1"/>
    </xf>
    <xf numFmtId="0" fontId="0" fillId="0" borderId="60" xfId="0" applyBorder="1" applyAlignment="1" applyProtection="1">
      <alignment wrapText="1"/>
    </xf>
    <xf numFmtId="0" fontId="0" fillId="0" borderId="3" xfId="0" applyBorder="1" applyAlignment="1" applyProtection="1">
      <alignment wrapText="1"/>
    </xf>
    <xf numFmtId="0" fontId="0" fillId="0" borderId="67" xfId="0" applyBorder="1" applyAlignment="1" applyProtection="1">
      <alignment wrapText="1"/>
    </xf>
    <xf numFmtId="0" fontId="0" fillId="0" borderId="54" xfId="0" applyBorder="1" applyAlignment="1" applyProtection="1">
      <alignment wrapText="1"/>
    </xf>
    <xf numFmtId="0" fontId="0" fillId="0" borderId="55" xfId="0" applyBorder="1" applyAlignment="1" applyProtection="1">
      <alignment wrapText="1"/>
    </xf>
    <xf numFmtId="0" fontId="0" fillId="0" borderId="81" xfId="0" applyBorder="1" applyAlignment="1" applyProtection="1">
      <alignment wrapText="1"/>
    </xf>
    <xf numFmtId="0" fontId="0" fillId="0" borderId="23" xfId="0" applyBorder="1" applyAlignment="1" applyProtection="1">
      <alignment wrapText="1"/>
    </xf>
    <xf numFmtId="0" fontId="24" fillId="0" borderId="0" xfId="0" applyFont="1" applyAlignment="1" applyProtection="1">
      <alignment vertical="top" wrapText="1"/>
    </xf>
    <xf numFmtId="0" fontId="26" fillId="0" borderId="36" xfId="0" applyFont="1" applyFill="1" applyBorder="1" applyAlignment="1" applyProtection="1">
      <alignment horizontal="left" vertical="top" wrapText="1"/>
      <protection locked="0"/>
    </xf>
    <xf numFmtId="164" fontId="65" fillId="5" borderId="25" xfId="2" applyNumberFormat="1" applyFont="1" applyFill="1" applyBorder="1" applyAlignment="1" applyProtection="1">
      <alignment horizontal="center" vertical="center"/>
      <protection hidden="1"/>
    </xf>
    <xf numFmtId="164" fontId="65" fillId="5" borderId="113" xfId="2" applyNumberFormat="1" applyFont="1" applyFill="1" applyBorder="1" applyAlignment="1" applyProtection="1">
      <alignment horizontal="center" vertical="center"/>
      <protection hidden="1"/>
    </xf>
    <xf numFmtId="164" fontId="65" fillId="5" borderId="30" xfId="2" applyNumberFormat="1" applyFont="1" applyFill="1" applyBorder="1" applyAlignment="1" applyProtection="1">
      <alignment horizontal="center" vertical="center"/>
      <protection hidden="1"/>
    </xf>
    <xf numFmtId="0" fontId="44" fillId="2" borderId="1" xfId="0" applyFont="1" applyFill="1" applyBorder="1" applyAlignment="1" applyProtection="1">
      <alignment horizontal="center" wrapText="1"/>
    </xf>
    <xf numFmtId="0" fontId="44" fillId="2" borderId="51" xfId="0" applyFont="1" applyFill="1" applyBorder="1" applyAlignment="1" applyProtection="1">
      <alignment horizontal="center" vertical="top" wrapText="1"/>
    </xf>
    <xf numFmtId="0" fontId="7" fillId="3" borderId="45" xfId="0" applyFont="1" applyFill="1" applyBorder="1" applyAlignment="1" applyProtection="1">
      <alignment horizontal="left" vertical="top" wrapText="1"/>
    </xf>
    <xf numFmtId="0" fontId="1" fillId="5" borderId="38" xfId="0" applyFont="1" applyFill="1" applyBorder="1" applyAlignment="1" applyProtection="1">
      <alignment horizontal="left" vertical="top" wrapText="1"/>
    </xf>
    <xf numFmtId="0" fontId="7" fillId="3" borderId="45" xfId="0" applyFont="1" applyFill="1" applyBorder="1" applyAlignment="1" applyProtection="1">
      <alignment horizontal="left" vertical="center" wrapText="1"/>
    </xf>
    <xf numFmtId="0" fontId="7" fillId="3" borderId="27" xfId="0" applyFont="1" applyFill="1" applyBorder="1" applyAlignment="1" applyProtection="1">
      <alignment horizontal="left" vertical="top" wrapText="1"/>
    </xf>
    <xf numFmtId="164" fontId="9" fillId="5" borderId="37" xfId="2" applyNumberFormat="1" applyFont="1" applyFill="1" applyBorder="1" applyAlignment="1" applyProtection="1">
      <alignment horizontal="left" vertical="top" wrapText="1"/>
    </xf>
    <xf numFmtId="0" fontId="7" fillId="3" borderId="27" xfId="0" applyFont="1" applyFill="1" applyBorder="1" applyAlignment="1" applyProtection="1">
      <alignment horizontal="left" vertical="center" wrapText="1"/>
    </xf>
    <xf numFmtId="0" fontId="1" fillId="5" borderId="37" xfId="0" applyFont="1" applyFill="1" applyBorder="1" applyAlignment="1" applyProtection="1">
      <alignment vertical="top" wrapText="1"/>
    </xf>
    <xf numFmtId="0" fontId="1" fillId="5" borderId="37" xfId="0" applyFont="1" applyFill="1" applyBorder="1" applyAlignment="1" applyProtection="1">
      <alignment vertical="top" wrapText="1"/>
      <protection locked="0"/>
    </xf>
    <xf numFmtId="0" fontId="23" fillId="4" borderId="40" xfId="0" applyFont="1" applyFill="1" applyBorder="1" applyAlignment="1" applyProtection="1">
      <alignment vertical="top" wrapText="1"/>
      <protection locked="0"/>
    </xf>
    <xf numFmtId="0" fontId="23" fillId="6" borderId="51" xfId="0" applyFont="1" applyFill="1" applyBorder="1" applyAlignment="1" applyProtection="1">
      <alignment vertical="top" wrapText="1"/>
      <protection locked="0"/>
    </xf>
    <xf numFmtId="0" fontId="26" fillId="3" borderId="6" xfId="0" applyFont="1" applyFill="1" applyBorder="1" applyAlignment="1" applyProtection="1">
      <alignment horizontal="center" vertical="top" wrapText="1"/>
      <protection locked="0"/>
    </xf>
    <xf numFmtId="0" fontId="26" fillId="3" borderId="6" xfId="0" applyFont="1" applyFill="1" applyBorder="1" applyAlignment="1" applyProtection="1">
      <alignment horizontal="center" vertical="center" wrapText="1"/>
      <protection locked="0"/>
    </xf>
    <xf numFmtId="0" fontId="23" fillId="6" borderId="41" xfId="0" applyFont="1" applyFill="1" applyBorder="1" applyAlignment="1" applyProtection="1">
      <alignment vertical="top" wrapText="1"/>
      <protection locked="0"/>
    </xf>
    <xf numFmtId="0" fontId="23" fillId="4" borderId="0" xfId="0" applyFont="1" applyFill="1" applyBorder="1" applyAlignment="1" applyProtection="1">
      <alignment vertical="top" wrapText="1"/>
      <protection locked="0"/>
    </xf>
    <xf numFmtId="0" fontId="23" fillId="4" borderId="0" xfId="0" applyFont="1" applyFill="1" applyAlignment="1" applyProtection="1">
      <alignment vertical="top" wrapText="1"/>
      <protection locked="0"/>
    </xf>
    <xf numFmtId="0" fontId="23" fillId="4" borderId="0" xfId="0" applyFont="1" applyFill="1" applyBorder="1" applyAlignment="1" applyProtection="1">
      <alignment vertical="top" wrapText="1"/>
    </xf>
    <xf numFmtId="0" fontId="0" fillId="4" borderId="0" xfId="0" applyFill="1" applyAlignment="1">
      <alignment vertical="top" wrapText="1"/>
    </xf>
    <xf numFmtId="0" fontId="0" fillId="0" borderId="0" xfId="0" applyAlignment="1" applyProtection="1"/>
    <xf numFmtId="0" fontId="0" fillId="2" borderId="0" xfId="0" applyFill="1" applyAlignment="1" applyProtection="1">
      <alignment vertical="center" wrapText="1"/>
      <protection hidden="1"/>
    </xf>
    <xf numFmtId="0" fontId="0" fillId="2" borderId="0" xfId="0" applyFill="1" applyAlignment="1" applyProtection="1">
      <alignment vertical="center" wrapText="1"/>
      <protection locked="0" hidden="1"/>
    </xf>
    <xf numFmtId="0" fontId="0" fillId="5" borderId="138" xfId="0" applyFont="1" applyFill="1" applyBorder="1" applyAlignment="1" applyProtection="1">
      <alignment horizontal="left" vertical="center" wrapText="1"/>
    </xf>
    <xf numFmtId="0" fontId="24" fillId="4" borderId="0" xfId="0" applyFont="1" applyFill="1" applyBorder="1" applyAlignment="1" applyProtection="1">
      <alignment horizontal="left" vertical="center"/>
      <protection hidden="1"/>
    </xf>
    <xf numFmtId="0" fontId="24" fillId="4" borderId="0" xfId="0" applyFont="1" applyFill="1" applyAlignment="1" applyProtection="1">
      <alignment vertical="center"/>
    </xf>
    <xf numFmtId="0" fontId="24" fillId="4" borderId="0" xfId="0" applyFont="1" applyFill="1" applyProtection="1">
      <protection hidden="1"/>
    </xf>
    <xf numFmtId="1" fontId="0" fillId="12" borderId="61" xfId="0" applyNumberFormat="1" applyFill="1" applyBorder="1" applyAlignment="1" applyProtection="1">
      <alignment horizontal="right"/>
    </xf>
    <xf numFmtId="1" fontId="0" fillId="12" borderId="5" xfId="0" applyNumberFormat="1" applyFill="1" applyBorder="1" applyAlignment="1" applyProtection="1">
      <alignment horizontal="right"/>
    </xf>
    <xf numFmtId="0" fontId="0" fillId="0" borderId="61" xfId="0" applyFill="1" applyBorder="1" applyAlignment="1" applyProtection="1">
      <alignment horizontal="right"/>
    </xf>
    <xf numFmtId="0" fontId="0" fillId="0" borderId="5" xfId="0" applyFill="1" applyBorder="1" applyAlignment="1" applyProtection="1">
      <alignment horizontal="right"/>
    </xf>
    <xf numFmtId="0" fontId="0" fillId="0" borderId="62" xfId="0" applyBorder="1" applyProtection="1"/>
    <xf numFmtId="0" fontId="32" fillId="8" borderId="5" xfId="0" applyFont="1" applyFill="1" applyBorder="1" applyProtection="1"/>
    <xf numFmtId="0" fontId="32" fillId="8" borderId="2" xfId="0" applyFont="1" applyFill="1" applyBorder="1" applyProtection="1"/>
    <xf numFmtId="0" fontId="32" fillId="0" borderId="61" xfId="0" applyFont="1" applyBorder="1" applyProtection="1"/>
    <xf numFmtId="0" fontId="32" fillId="0" borderId="56" xfId="0" applyFont="1" applyBorder="1" applyProtection="1"/>
    <xf numFmtId="1" fontId="0" fillId="12" borderId="61" xfId="0" applyNumberFormat="1" applyFill="1" applyBorder="1" applyProtection="1"/>
    <xf numFmtId="1" fontId="0" fillId="12" borderId="5" xfId="0" applyNumberFormat="1" applyFill="1" applyBorder="1" applyProtection="1"/>
    <xf numFmtId="1" fontId="0" fillId="12" borderId="62" xfId="0" applyNumberFormat="1" applyFill="1" applyBorder="1" applyProtection="1"/>
    <xf numFmtId="0" fontId="0" fillId="0" borderId="13" xfId="0" applyFill="1" applyBorder="1" applyProtection="1"/>
    <xf numFmtId="0" fontId="0" fillId="20" borderId="0" xfId="0" applyFill="1" applyBorder="1" applyProtection="1"/>
    <xf numFmtId="1" fontId="0" fillId="12" borderId="66" xfId="0" applyNumberFormat="1" applyFill="1" applyBorder="1" applyAlignment="1" applyProtection="1">
      <alignment horizontal="right"/>
    </xf>
    <xf numFmtId="1" fontId="0" fillId="12" borderId="3" xfId="0" applyNumberFormat="1" applyFill="1" applyBorder="1" applyAlignment="1" applyProtection="1">
      <alignment horizontal="right"/>
    </xf>
    <xf numFmtId="1" fontId="0" fillId="12" borderId="67" xfId="0" applyNumberFormat="1" applyFill="1" applyBorder="1" applyAlignment="1" applyProtection="1">
      <alignment horizontal="right"/>
    </xf>
    <xf numFmtId="1" fontId="0" fillId="12" borderId="67" xfId="0" applyNumberFormat="1" applyFill="1" applyBorder="1" applyProtection="1"/>
    <xf numFmtId="0" fontId="0" fillId="0" borderId="66" xfId="0" applyFill="1" applyBorder="1" applyAlignment="1" applyProtection="1">
      <alignment horizontal="right"/>
    </xf>
    <xf numFmtId="0" fontId="0" fillId="0" borderId="3" xfId="0" applyFill="1" applyBorder="1" applyAlignment="1" applyProtection="1">
      <alignment horizontal="right"/>
    </xf>
    <xf numFmtId="0" fontId="0" fillId="0" borderId="9" xfId="0" applyFill="1" applyBorder="1" applyAlignment="1" applyProtection="1">
      <alignment horizontal="right"/>
    </xf>
    <xf numFmtId="0" fontId="0" fillId="0" borderId="67" xfId="0" applyBorder="1" applyProtection="1"/>
    <xf numFmtId="0" fontId="0" fillId="0" borderId="13" xfId="0" applyFill="1" applyBorder="1" applyAlignment="1" applyProtection="1">
      <alignment horizontal="right"/>
    </xf>
    <xf numFmtId="1" fontId="24" fillId="12" borderId="5" xfId="0" applyNumberFormat="1" applyFont="1" applyFill="1" applyBorder="1" applyProtection="1"/>
    <xf numFmtId="1" fontId="0" fillId="12" borderId="66" xfId="0" applyNumberFormat="1" applyFill="1" applyBorder="1" applyProtection="1"/>
    <xf numFmtId="1" fontId="0" fillId="12" borderId="3" xfId="0" applyNumberFormat="1" applyFill="1" applyBorder="1" applyProtection="1"/>
    <xf numFmtId="0" fontId="0" fillId="0" borderId="9" xfId="0" applyFill="1" applyBorder="1" applyProtection="1"/>
    <xf numFmtId="0" fontId="0" fillId="8" borderId="15" xfId="0" applyFill="1" applyBorder="1" applyProtection="1"/>
    <xf numFmtId="0" fontId="0" fillId="0" borderId="87" xfId="0" applyFill="1" applyBorder="1" applyProtection="1"/>
    <xf numFmtId="0" fontId="0" fillId="0" borderId="62" xfId="0" applyFill="1" applyBorder="1" applyProtection="1"/>
    <xf numFmtId="0" fontId="0" fillId="0" borderId="67" xfId="0" applyFill="1" applyBorder="1" applyProtection="1"/>
    <xf numFmtId="0" fontId="23" fillId="10" borderId="81" xfId="0" applyFont="1" applyFill="1" applyBorder="1" applyAlignment="1" applyProtection="1">
      <alignment horizontal="center" wrapText="1"/>
    </xf>
    <xf numFmtId="0" fontId="23" fillId="10" borderId="82" xfId="0" applyFont="1" applyFill="1" applyBorder="1" applyAlignment="1" applyProtection="1">
      <alignment horizontal="center" wrapText="1"/>
    </xf>
    <xf numFmtId="0" fontId="32" fillId="0" borderId="53" xfId="0" applyFont="1" applyBorder="1" applyProtection="1"/>
    <xf numFmtId="0" fontId="32" fillId="8" borderId="54" xfId="0" applyFont="1" applyFill="1" applyBorder="1" applyProtection="1"/>
    <xf numFmtId="0" fontId="32" fillId="5" borderId="24" xfId="0" applyFont="1" applyFill="1" applyBorder="1" applyAlignment="1" applyProtection="1">
      <alignment horizontal="left" vertical="center"/>
    </xf>
    <xf numFmtId="0" fontId="0" fillId="5" borderId="24" xfId="0" applyFont="1" applyFill="1" applyBorder="1" applyAlignment="1" applyProtection="1">
      <alignment horizontal="left" vertical="center" indent="2"/>
    </xf>
    <xf numFmtId="164" fontId="26" fillId="5" borderId="138" xfId="0" applyNumberFormat="1" applyFont="1" applyFill="1" applyBorder="1" applyAlignment="1" applyProtection="1">
      <alignment horizontal="center" vertical="center"/>
    </xf>
    <xf numFmtId="0" fontId="0" fillId="5" borderId="124" xfId="0" applyFill="1" applyBorder="1" applyAlignment="1" applyProtection="1">
      <alignment vertical="center"/>
    </xf>
    <xf numFmtId="0" fontId="26" fillId="4" borderId="0" xfId="0" applyFont="1" applyFill="1" applyBorder="1" applyAlignment="1" applyProtection="1">
      <alignment horizontal="left" vertical="center" wrapText="1"/>
      <protection locked="0"/>
    </xf>
    <xf numFmtId="0" fontId="37" fillId="5" borderId="37" xfId="0" applyFont="1" applyFill="1" applyBorder="1" applyAlignment="1" applyProtection="1">
      <alignment horizontal="center" vertical="center"/>
    </xf>
    <xf numFmtId="164" fontId="37" fillId="5" borderId="24" xfId="0" applyNumberFormat="1" applyFont="1" applyFill="1" applyBorder="1" applyAlignment="1" applyProtection="1">
      <alignment horizontal="center" vertical="center"/>
    </xf>
    <xf numFmtId="0" fontId="37" fillId="5" borderId="91" xfId="0" applyFont="1" applyFill="1" applyBorder="1" applyAlignment="1" applyProtection="1">
      <alignment horizontal="left" vertical="center"/>
    </xf>
    <xf numFmtId="0" fontId="28" fillId="6" borderId="124" xfId="0" applyFont="1" applyFill="1" applyBorder="1" applyAlignment="1" applyProtection="1">
      <alignment vertical="center"/>
    </xf>
    <xf numFmtId="0" fontId="23" fillId="6" borderId="0" xfId="0" applyFont="1" applyFill="1" applyBorder="1" applyAlignment="1" applyProtection="1">
      <alignment vertical="center"/>
    </xf>
    <xf numFmtId="0" fontId="23" fillId="6" borderId="0" xfId="0" applyFont="1" applyFill="1" applyBorder="1" applyAlignment="1" applyProtection="1">
      <alignment vertical="center"/>
      <protection locked="0"/>
    </xf>
    <xf numFmtId="0" fontId="26" fillId="3" borderId="11" xfId="0" applyFont="1" applyFill="1" applyBorder="1" applyAlignment="1" applyProtection="1">
      <alignment horizontal="center" vertical="center"/>
      <protection locked="0"/>
    </xf>
    <xf numFmtId="0" fontId="26" fillId="3" borderId="115" xfId="0" applyFont="1" applyFill="1" applyBorder="1" applyAlignment="1" applyProtection="1">
      <alignment horizontal="center" vertical="center"/>
      <protection locked="0"/>
    </xf>
    <xf numFmtId="0" fontId="23" fillId="6" borderId="135" xfId="0" applyFont="1" applyFill="1" applyBorder="1" applyAlignment="1" applyProtection="1">
      <alignment horizontal="left" vertical="top" wrapText="1"/>
      <protection locked="0"/>
    </xf>
    <xf numFmtId="0" fontId="26" fillId="4" borderId="131" xfId="0" applyFont="1" applyFill="1" applyBorder="1" applyAlignment="1" applyProtection="1">
      <alignment horizontal="left" vertical="center" wrapText="1"/>
      <protection locked="0"/>
    </xf>
    <xf numFmtId="0" fontId="26" fillId="4" borderId="103" xfId="0" applyFont="1" applyFill="1" applyBorder="1" applyAlignment="1" applyProtection="1">
      <alignment horizontal="left" vertical="center"/>
      <protection locked="0"/>
    </xf>
    <xf numFmtId="0" fontId="26" fillId="0" borderId="140" xfId="0" applyFont="1" applyFill="1" applyBorder="1" applyAlignment="1" applyProtection="1">
      <alignment horizontal="left" vertical="top" wrapText="1"/>
      <protection locked="0"/>
    </xf>
    <xf numFmtId="164" fontId="37" fillId="5" borderId="28" xfId="0" applyNumberFormat="1" applyFont="1" applyFill="1" applyBorder="1" applyAlignment="1" applyProtection="1">
      <alignment horizontal="center" vertical="center"/>
    </xf>
    <xf numFmtId="0" fontId="26" fillId="4" borderId="6" xfId="0" applyFont="1" applyFill="1" applyBorder="1" applyAlignment="1" applyProtection="1">
      <alignment horizontal="center" vertical="center" wrapText="1"/>
      <protection locked="0"/>
    </xf>
    <xf numFmtId="0" fontId="29" fillId="2" borderId="0" xfId="0" applyFont="1" applyFill="1" applyBorder="1" applyAlignment="1" applyProtection="1">
      <alignment horizontal="left" vertical="top" wrapText="1"/>
    </xf>
    <xf numFmtId="0" fontId="41" fillId="2" borderId="143" xfId="0" applyFont="1" applyFill="1" applyBorder="1" applyAlignment="1" applyProtection="1">
      <alignment horizontal="left" vertical="top" wrapText="1"/>
    </xf>
    <xf numFmtId="0" fontId="50" fillId="0" borderId="0" xfId="0" applyFont="1"/>
    <xf numFmtId="0" fontId="51" fillId="4" borderId="0" xfId="0" applyFont="1" applyFill="1" applyBorder="1" applyAlignment="1">
      <alignment horizontal="left" vertical="top" wrapText="1"/>
    </xf>
    <xf numFmtId="0" fontId="51" fillId="4" borderId="0" xfId="0" applyFont="1" applyFill="1" applyBorder="1" applyAlignment="1">
      <alignment horizontal="center" vertical="top" wrapText="1"/>
    </xf>
    <xf numFmtId="0" fontId="50" fillId="0" borderId="0" xfId="0" applyFont="1" applyBorder="1"/>
    <xf numFmtId="0" fontId="51" fillId="0" borderId="0" xfId="0" applyFont="1" applyFill="1" applyBorder="1"/>
    <xf numFmtId="0" fontId="50"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0" fontId="54" fillId="0" borderId="123" xfId="0" applyFont="1" applyBorder="1" applyAlignment="1" applyProtection="1">
      <alignment wrapText="1"/>
      <protection locked="0"/>
    </xf>
    <xf numFmtId="0" fontId="54" fillId="0" borderId="123" xfId="0" applyFont="1" applyFill="1" applyBorder="1" applyProtection="1">
      <protection locked="0"/>
    </xf>
    <xf numFmtId="0" fontId="99" fillId="4" borderId="0" xfId="0" applyFont="1" applyFill="1" applyBorder="1" applyAlignment="1">
      <alignment horizontal="center" vertical="center" wrapText="1"/>
    </xf>
    <xf numFmtId="0" fontId="100" fillId="0" borderId="2" xfId="3" applyFont="1" applyFill="1" applyBorder="1" applyAlignment="1">
      <alignment horizontal="center" vertical="center"/>
    </xf>
    <xf numFmtId="0" fontId="98" fillId="0" borderId="0" xfId="0" applyFont="1" applyFill="1" applyBorder="1" applyAlignment="1">
      <alignment horizontal="center" vertical="center"/>
    </xf>
    <xf numFmtId="0" fontId="54" fillId="0" borderId="0" xfId="0" applyFont="1" applyFill="1" applyBorder="1" applyProtection="1">
      <protection locked="0"/>
    </xf>
    <xf numFmtId="0" fontId="55" fillId="0" borderId="123" xfId="0" applyFont="1" applyBorder="1" applyProtection="1">
      <protection locked="0"/>
    </xf>
    <xf numFmtId="0" fontId="54" fillId="0" borderId="0" xfId="0" applyFont="1" applyBorder="1" applyProtection="1">
      <protection locked="0"/>
    </xf>
    <xf numFmtId="0" fontId="100" fillId="0" borderId="0" xfId="3" applyFont="1" applyFill="1" applyBorder="1" applyAlignment="1">
      <alignment horizontal="center" vertical="center"/>
    </xf>
    <xf numFmtId="0" fontId="55" fillId="0" borderId="123" xfId="0" applyFont="1" applyFill="1" applyBorder="1" applyProtection="1">
      <protection locked="0"/>
    </xf>
    <xf numFmtId="0" fontId="55" fillId="0" borderId="0" xfId="0" applyFont="1" applyFill="1" applyBorder="1" applyProtection="1">
      <protection locked="0"/>
    </xf>
    <xf numFmtId="0" fontId="55" fillId="0" borderId="0" xfId="0" applyFont="1" applyBorder="1" applyProtection="1">
      <protection locked="0"/>
    </xf>
    <xf numFmtId="0" fontId="55" fillId="0" borderId="148" xfId="0" applyFont="1" applyBorder="1" applyAlignment="1" applyProtection="1">
      <protection locked="0"/>
    </xf>
    <xf numFmtId="0" fontId="101" fillId="0" borderId="2" xfId="3" applyFont="1" applyFill="1" applyBorder="1"/>
    <xf numFmtId="0" fontId="51" fillId="0" borderId="2" xfId="0" applyFont="1" applyFill="1" applyBorder="1" applyAlignment="1">
      <alignment horizontal="center"/>
    </xf>
    <xf numFmtId="0" fontId="101" fillId="0" borderId="2" xfId="3" applyFont="1" applyFill="1" applyBorder="1" applyAlignment="1">
      <alignment vertical="top"/>
    </xf>
    <xf numFmtId="0" fontId="51" fillId="0" borderId="0" xfId="0" applyFont="1" applyFill="1" applyBorder="1" applyAlignment="1">
      <alignment horizontal="center"/>
    </xf>
    <xf numFmtId="0" fontId="102" fillId="0" borderId="2" xfId="3" applyFont="1" applyFill="1" applyBorder="1"/>
    <xf numFmtId="0" fontId="103" fillId="0" borderId="2" xfId="0" applyFont="1" applyFill="1" applyBorder="1" applyAlignment="1">
      <alignment horizontal="center"/>
    </xf>
    <xf numFmtId="0" fontId="102" fillId="0" borderId="2" xfId="3" applyFont="1" applyFill="1" applyBorder="1" applyAlignment="1">
      <alignment vertical="top"/>
    </xf>
    <xf numFmtId="0" fontId="103" fillId="0" borderId="2" xfId="0" applyFont="1" applyFill="1" applyBorder="1" applyAlignment="1">
      <alignment horizontal="center" vertical="top"/>
    </xf>
    <xf numFmtId="0" fontId="101" fillId="0" borderId="2" xfId="3" applyFont="1" applyFill="1" applyBorder="1" applyAlignment="1">
      <alignment horizontal="right"/>
    </xf>
    <xf numFmtId="0" fontId="103" fillId="0" borderId="2" xfId="0" applyFont="1" applyFill="1" applyBorder="1" applyAlignment="1">
      <alignment horizontal="center" wrapText="1"/>
    </xf>
    <xf numFmtId="0" fontId="51" fillId="0" borderId="2" xfId="0" applyFont="1" applyFill="1" applyBorder="1" applyAlignment="1">
      <alignment horizontal="center" wrapText="1"/>
    </xf>
    <xf numFmtId="0" fontId="51" fillId="0" borderId="2" xfId="0" applyFont="1" applyFill="1" applyBorder="1" applyAlignment="1">
      <alignment horizontal="center" vertical="top"/>
    </xf>
    <xf numFmtId="0" fontId="101" fillId="0" borderId="4" xfId="3" applyFont="1" applyFill="1" applyBorder="1"/>
    <xf numFmtId="0" fontId="51" fillId="0" borderId="4" xfId="0" applyFont="1" applyFill="1" applyBorder="1" applyAlignment="1">
      <alignment horizontal="center"/>
    </xf>
    <xf numFmtId="0" fontId="101" fillId="0" borderId="0" xfId="3" applyFont="1" applyFill="1" applyBorder="1"/>
    <xf numFmtId="0" fontId="0" fillId="0" borderId="2" xfId="0" applyFont="1" applyFill="1" applyBorder="1" applyAlignment="1" applyProtection="1">
      <alignment horizontal="left" indent="2"/>
    </xf>
    <xf numFmtId="0" fontId="23" fillId="10" borderId="149" xfId="0" applyFont="1" applyFill="1" applyBorder="1" applyAlignment="1" applyProtection="1">
      <alignment horizontal="center" wrapText="1"/>
    </xf>
    <xf numFmtId="0" fontId="0" fillId="8" borderId="75" xfId="0" applyFill="1" applyBorder="1" applyProtection="1"/>
    <xf numFmtId="0" fontId="0" fillId="8" borderId="76" xfId="0" applyFill="1" applyBorder="1" applyProtection="1"/>
    <xf numFmtId="10" fontId="0" fillId="8" borderId="0" xfId="0" applyNumberFormat="1" applyFill="1" applyProtection="1"/>
    <xf numFmtId="0" fontId="0" fillId="8" borderId="2" xfId="0" applyFont="1" applyFill="1" applyBorder="1" applyAlignment="1" applyProtection="1">
      <alignment horizontal="center" wrapText="1"/>
    </xf>
    <xf numFmtId="0" fontId="32" fillId="5" borderId="29" xfId="0" applyFont="1" applyFill="1" applyBorder="1" applyAlignment="1" applyProtection="1">
      <alignment vertical="center"/>
    </xf>
    <xf numFmtId="0" fontId="32" fillId="5" borderId="24" xfId="0" applyFont="1" applyFill="1" applyBorder="1" applyAlignment="1" applyProtection="1">
      <alignment vertical="center"/>
    </xf>
    <xf numFmtId="0" fontId="105" fillId="5" borderId="90" xfId="0" applyFont="1" applyFill="1" applyBorder="1" applyAlignment="1" applyProtection="1">
      <alignment horizontal="center" vertical="center"/>
      <protection locked="0"/>
    </xf>
    <xf numFmtId="0" fontId="23" fillId="10" borderId="11" xfId="0" applyFont="1" applyFill="1" applyBorder="1" applyAlignment="1" applyProtection="1">
      <alignment wrapText="1"/>
      <protection hidden="1"/>
    </xf>
    <xf numFmtId="0" fontId="23" fillId="10" borderId="2" xfId="0" applyFont="1" applyFill="1" applyBorder="1" applyAlignment="1" applyProtection="1">
      <alignment wrapText="1"/>
      <protection hidden="1"/>
    </xf>
    <xf numFmtId="0" fontId="9" fillId="4" borderId="35" xfId="0" applyFont="1" applyFill="1" applyBorder="1" applyAlignment="1" applyProtection="1">
      <alignment horizontal="left" vertical="top" wrapText="1"/>
    </xf>
    <xf numFmtId="0" fontId="7" fillId="3" borderId="46" xfId="0" applyFont="1" applyFill="1" applyBorder="1" applyAlignment="1" applyProtection="1">
      <alignment horizontal="left" vertical="top"/>
    </xf>
    <xf numFmtId="0" fontId="7" fillId="3" borderId="47" xfId="0" applyFont="1" applyFill="1" applyBorder="1" applyAlignment="1" applyProtection="1">
      <alignment horizontal="left" vertical="top"/>
    </xf>
    <xf numFmtId="0" fontId="7" fillId="3" borderId="46" xfId="0" applyFont="1" applyFill="1" applyBorder="1" applyAlignment="1" applyProtection="1">
      <alignment horizontal="left" vertical="center"/>
    </xf>
    <xf numFmtId="0" fontId="7" fillId="3" borderId="47" xfId="0" applyFont="1" applyFill="1" applyBorder="1" applyAlignment="1" applyProtection="1">
      <alignment horizontal="left" vertical="center"/>
    </xf>
    <xf numFmtId="0" fontId="32" fillId="8" borderId="2" xfId="0" applyFont="1" applyFill="1" applyBorder="1" applyAlignment="1" applyProtection="1">
      <alignment wrapText="1"/>
    </xf>
    <xf numFmtId="0" fontId="0" fillId="18" borderId="2" xfId="0" applyFill="1" applyBorder="1" applyAlignment="1" applyProtection="1">
      <alignment wrapText="1"/>
    </xf>
    <xf numFmtId="0" fontId="95" fillId="18" borderId="2" xfId="0" applyFont="1" applyFill="1" applyBorder="1" applyAlignment="1" applyProtection="1">
      <alignment wrapText="1"/>
    </xf>
    <xf numFmtId="0" fontId="95" fillId="18" borderId="3" xfId="0" applyFont="1" applyFill="1" applyBorder="1" applyAlignment="1" applyProtection="1">
      <alignment wrapText="1"/>
    </xf>
    <xf numFmtId="0" fontId="0" fillId="18" borderId="15" xfId="0" applyFill="1" applyBorder="1" applyAlignment="1" applyProtection="1">
      <alignment wrapText="1"/>
    </xf>
    <xf numFmtId="0" fontId="0" fillId="18" borderId="2" xfId="0" applyFont="1" applyFill="1" applyBorder="1" applyAlignment="1" applyProtection="1">
      <alignment wrapText="1"/>
    </xf>
    <xf numFmtId="0" fontId="0" fillId="12" borderId="5" xfId="0" applyFont="1" applyFill="1" applyBorder="1" applyAlignment="1" applyProtection="1">
      <alignment wrapText="1"/>
    </xf>
    <xf numFmtId="0" fontId="0" fillId="9" borderId="2" xfId="0" applyFill="1" applyBorder="1" applyAlignment="1" applyProtection="1">
      <alignment horizontal="left" indent="2"/>
    </xf>
    <xf numFmtId="0" fontId="0" fillId="12" borderId="3" xfId="0" applyFont="1" applyFill="1" applyBorder="1" applyAlignment="1" applyProtection="1">
      <alignment wrapText="1"/>
    </xf>
    <xf numFmtId="0" fontId="32" fillId="9" borderId="56" xfId="0" applyFont="1" applyFill="1" applyBorder="1" applyProtection="1"/>
    <xf numFmtId="0" fontId="0" fillId="12" borderId="15" xfId="0" applyFont="1" applyFill="1" applyBorder="1" applyAlignment="1" applyProtection="1">
      <alignment wrapText="1"/>
    </xf>
    <xf numFmtId="0" fontId="0" fillId="12" borderId="59" xfId="0" applyFont="1" applyFill="1" applyBorder="1" applyAlignment="1" applyProtection="1">
      <alignment wrapText="1"/>
    </xf>
    <xf numFmtId="0" fontId="0" fillId="9" borderId="2" xfId="0" applyFont="1" applyFill="1" applyBorder="1" applyAlignment="1" applyProtection="1">
      <alignment horizontal="left" indent="2"/>
    </xf>
    <xf numFmtId="0" fontId="32" fillId="0" borderId="56" xfId="0" applyFont="1" applyFill="1" applyBorder="1" applyProtection="1"/>
    <xf numFmtId="0" fontId="0" fillId="0" borderId="56" xfId="0" applyFont="1" applyFill="1" applyBorder="1" applyProtection="1"/>
    <xf numFmtId="0" fontId="0" fillId="0" borderId="58" xfId="0" applyFont="1" applyFill="1" applyBorder="1" applyProtection="1"/>
    <xf numFmtId="0" fontId="0" fillId="12" borderId="5" xfId="0" applyFont="1" applyFill="1" applyBorder="1" applyAlignment="1">
      <alignment wrapText="1"/>
    </xf>
    <xf numFmtId="0" fontId="0" fillId="0" borderId="59" xfId="0" applyFont="1" applyFill="1" applyBorder="1" applyAlignment="1" applyProtection="1">
      <alignment horizontal="left" indent="2"/>
    </xf>
    <xf numFmtId="0" fontId="32" fillId="20" borderId="2" xfId="0" applyFont="1" applyFill="1" applyBorder="1" applyAlignment="1" applyProtection="1">
      <alignment wrapText="1"/>
    </xf>
    <xf numFmtId="0" fontId="0" fillId="20" borderId="0" xfId="0" applyFill="1" applyAlignment="1" applyProtection="1"/>
    <xf numFmtId="0" fontId="0" fillId="12" borderId="54" xfId="0" applyFont="1" applyFill="1" applyBorder="1" applyAlignment="1" applyProtection="1">
      <alignment wrapText="1"/>
    </xf>
    <xf numFmtId="0" fontId="0" fillId="18" borderId="75" xfId="0" applyFill="1" applyBorder="1" applyProtection="1"/>
    <xf numFmtId="0" fontId="0" fillId="18" borderId="4" xfId="0" applyFill="1" applyBorder="1" applyProtection="1"/>
    <xf numFmtId="0" fontId="0" fillId="18" borderId="69" xfId="0" applyFill="1" applyBorder="1" applyProtection="1"/>
    <xf numFmtId="0" fontId="0" fillId="18" borderId="76" xfId="0" applyFill="1" applyBorder="1" applyProtection="1"/>
    <xf numFmtId="0" fontId="32" fillId="8" borderId="2" xfId="0" applyFont="1" applyFill="1" applyBorder="1" applyAlignment="1" applyProtection="1">
      <alignment horizontal="center" wrapText="1"/>
    </xf>
    <xf numFmtId="0" fontId="24" fillId="0" borderId="0" xfId="0" applyFont="1" applyAlignment="1" applyProtection="1">
      <alignment vertical="top"/>
    </xf>
    <xf numFmtId="10" fontId="0" fillId="18" borderId="0" xfId="0" applyNumberFormat="1" applyFill="1" applyProtection="1"/>
    <xf numFmtId="0" fontId="0" fillId="8" borderId="71" xfId="0" applyFill="1" applyBorder="1" applyProtection="1"/>
    <xf numFmtId="0" fontId="0" fillId="18" borderId="71" xfId="0" applyFill="1" applyBorder="1" applyProtection="1"/>
    <xf numFmtId="0" fontId="0" fillId="8" borderId="69" xfId="0" applyFill="1" applyBorder="1" applyProtection="1"/>
    <xf numFmtId="0" fontId="0" fillId="8" borderId="3" xfId="0" applyFill="1" applyBorder="1" applyProtection="1"/>
    <xf numFmtId="0" fontId="32" fillId="12" borderId="85" xfId="0" applyFont="1" applyFill="1" applyBorder="1" applyProtection="1"/>
    <xf numFmtId="0" fontId="32" fillId="12" borderId="15" xfId="0" applyFont="1" applyFill="1" applyBorder="1" applyProtection="1"/>
    <xf numFmtId="0" fontId="32" fillId="12" borderId="86" xfId="0" applyFont="1" applyFill="1" applyBorder="1" applyProtection="1"/>
    <xf numFmtId="0" fontId="0" fillId="12" borderId="85" xfId="0" applyFont="1" applyFill="1" applyBorder="1" applyProtection="1"/>
    <xf numFmtId="0" fontId="0" fillId="12" borderId="15" xfId="0" applyFont="1" applyFill="1" applyBorder="1" applyProtection="1"/>
    <xf numFmtId="0" fontId="0" fillId="12" borderId="86" xfId="0" applyFont="1" applyFill="1" applyBorder="1" applyProtection="1"/>
    <xf numFmtId="0" fontId="0" fillId="9" borderId="3" xfId="0" applyFill="1" applyBorder="1" applyProtection="1"/>
    <xf numFmtId="0" fontId="32" fillId="0" borderId="3" xfId="0" applyFont="1" applyBorder="1" applyProtection="1"/>
    <xf numFmtId="0" fontId="32" fillId="0" borderId="54" xfId="0" applyFont="1" applyBorder="1" applyProtection="1"/>
    <xf numFmtId="1" fontId="32" fillId="12" borderId="2" xfId="0" applyNumberFormat="1" applyFont="1" applyFill="1" applyBorder="1" applyProtection="1"/>
    <xf numFmtId="1" fontId="32" fillId="12" borderId="57" xfId="0" applyNumberFormat="1" applyFont="1" applyFill="1" applyBorder="1" applyProtection="1"/>
    <xf numFmtId="1" fontId="32" fillId="12" borderId="56" xfId="0" applyNumberFormat="1" applyFont="1" applyFill="1" applyBorder="1" applyProtection="1"/>
    <xf numFmtId="0" fontId="32" fillId="0" borderId="2" xfId="0" applyFont="1" applyBorder="1" applyProtection="1"/>
    <xf numFmtId="0" fontId="32" fillId="2" borderId="0" xfId="0" applyFont="1" applyFill="1" applyBorder="1" applyAlignment="1" applyProtection="1">
      <alignment vertical="center"/>
    </xf>
    <xf numFmtId="0" fontId="32" fillId="5" borderId="24" xfId="0" applyFont="1" applyFill="1" applyBorder="1" applyAlignment="1" applyProtection="1">
      <alignment horizontal="left" vertical="center" wrapText="1"/>
    </xf>
    <xf numFmtId="0" fontId="0" fillId="20" borderId="4" xfId="0" applyFill="1" applyBorder="1" applyProtection="1"/>
    <xf numFmtId="0" fontId="0" fillId="0" borderId="0" xfId="0"/>
    <xf numFmtId="0" fontId="50" fillId="0" borderId="0" xfId="0" applyFont="1"/>
    <xf numFmtId="0" fontId="51" fillId="4" borderId="0" xfId="0" applyFont="1" applyFill="1" applyBorder="1" applyAlignment="1">
      <alignment horizontal="left" vertical="top" wrapText="1"/>
    </xf>
    <xf numFmtId="0" fontId="51" fillId="4" borderId="0" xfId="0" applyFont="1" applyFill="1" applyBorder="1" applyAlignment="1">
      <alignment horizontal="center" vertical="top" wrapText="1"/>
    </xf>
    <xf numFmtId="0" fontId="50" fillId="0" borderId="0" xfId="0" applyFont="1" applyBorder="1"/>
    <xf numFmtId="0" fontId="51" fillId="0" borderId="0" xfId="0" applyFont="1" applyFill="1" applyBorder="1"/>
    <xf numFmtId="0" fontId="50" fillId="0" borderId="0" xfId="0" applyFont="1" applyFill="1" applyBorder="1"/>
    <xf numFmtId="0" fontId="54" fillId="0" borderId="119" xfId="0" applyFont="1" applyBorder="1" applyProtection="1">
      <protection locked="0"/>
    </xf>
    <xf numFmtId="0" fontId="54" fillId="0" borderId="123" xfId="0" applyFont="1" applyBorder="1" applyProtection="1">
      <protection locked="0"/>
    </xf>
    <xf numFmtId="0" fontId="54" fillId="0" borderId="123" xfId="0" applyFont="1" applyBorder="1" applyAlignment="1" applyProtection="1">
      <alignment wrapText="1"/>
      <protection locked="0"/>
    </xf>
    <xf numFmtId="0" fontId="54" fillId="0" borderId="123" xfId="0" applyFont="1" applyFill="1" applyBorder="1" applyProtection="1">
      <protection locked="0"/>
    </xf>
    <xf numFmtId="0" fontId="99" fillId="4" borderId="0" xfId="0" applyFont="1" applyFill="1" applyBorder="1" applyAlignment="1">
      <alignment horizontal="center" vertical="center" wrapText="1"/>
    </xf>
    <xf numFmtId="0" fontId="54" fillId="0" borderId="0" xfId="0" applyFont="1" applyFill="1" applyBorder="1" applyProtection="1">
      <protection locked="0"/>
    </xf>
    <xf numFmtId="0" fontId="55" fillId="0" borderId="123" xfId="0" applyFont="1" applyBorder="1" applyProtection="1">
      <protection locked="0"/>
    </xf>
    <xf numFmtId="0" fontId="54" fillId="0" borderId="0" xfId="0" applyFont="1" applyBorder="1" applyProtection="1">
      <protection locked="0"/>
    </xf>
    <xf numFmtId="0" fontId="55" fillId="0" borderId="123" xfId="0" applyFont="1" applyFill="1" applyBorder="1" applyProtection="1">
      <protection locked="0"/>
    </xf>
    <xf numFmtId="0" fontId="55" fillId="0" borderId="0" xfId="0" applyFont="1" applyFill="1" applyBorder="1" applyProtection="1">
      <protection locked="0"/>
    </xf>
    <xf numFmtId="0" fontId="55" fillId="0" borderId="0" xfId="0" applyFont="1" applyBorder="1" applyProtection="1">
      <protection locked="0"/>
    </xf>
    <xf numFmtId="0" fontId="55" fillId="0" borderId="148" xfId="0" applyFont="1" applyBorder="1" applyAlignment="1" applyProtection="1">
      <protection locked="0"/>
    </xf>
    <xf numFmtId="0" fontId="104" fillId="5" borderId="142" xfId="0" applyFont="1" applyFill="1" applyBorder="1" applyProtection="1">
      <protection locked="0"/>
    </xf>
    <xf numFmtId="0" fontId="104" fillId="5" borderId="141" xfId="0" applyFont="1" applyFill="1" applyBorder="1" applyProtection="1">
      <protection locked="0"/>
    </xf>
    <xf numFmtId="1" fontId="32" fillId="12" borderId="57" xfId="0" applyNumberFormat="1" applyFont="1" applyFill="1" applyBorder="1" applyAlignment="1" applyProtection="1">
      <alignment horizontal="right"/>
    </xf>
    <xf numFmtId="1" fontId="32" fillId="12" borderId="56" xfId="0" applyNumberFormat="1" applyFont="1" applyFill="1" applyBorder="1" applyAlignment="1" applyProtection="1">
      <alignment horizontal="right"/>
    </xf>
    <xf numFmtId="1" fontId="32" fillId="12" borderId="2" xfId="0" applyNumberFormat="1" applyFont="1" applyFill="1" applyBorder="1" applyAlignment="1" applyProtection="1">
      <alignment horizontal="right"/>
    </xf>
    <xf numFmtId="0" fontId="0" fillId="20" borderId="56" xfId="0" applyFill="1" applyBorder="1" applyAlignment="1" applyProtection="1">
      <alignment horizontal="right"/>
    </xf>
    <xf numFmtId="1" fontId="32" fillId="12" borderId="61" xfId="0" applyNumberFormat="1" applyFont="1" applyFill="1" applyBorder="1" applyAlignment="1" applyProtection="1">
      <alignment horizontal="right"/>
    </xf>
    <xf numFmtId="1" fontId="32" fillId="12" borderId="5" xfId="0" applyNumberFormat="1" applyFont="1" applyFill="1" applyBorder="1" applyAlignment="1" applyProtection="1">
      <alignment horizontal="right"/>
    </xf>
    <xf numFmtId="1" fontId="0" fillId="12" borderId="2" xfId="0" applyNumberFormat="1" applyFont="1" applyFill="1" applyBorder="1" applyProtection="1"/>
    <xf numFmtId="1" fontId="0" fillId="12" borderId="57" xfId="0" applyNumberFormat="1" applyFont="1" applyFill="1" applyBorder="1" applyProtection="1"/>
    <xf numFmtId="1" fontId="0" fillId="12" borderId="56" xfId="0" applyNumberFormat="1" applyFont="1" applyFill="1" applyBorder="1" applyProtection="1"/>
    <xf numFmtId="0" fontId="24" fillId="0" borderId="2" xfId="0" applyFont="1" applyFill="1" applyBorder="1" applyAlignment="1" applyProtection="1">
      <alignment horizontal="left" indent="2"/>
    </xf>
    <xf numFmtId="0" fontId="24" fillId="2" borderId="0" xfId="0" applyFont="1" applyFill="1" applyBorder="1" applyProtection="1">
      <protection hidden="1"/>
    </xf>
    <xf numFmtId="0" fontId="0" fillId="0" borderId="86" xfId="0" applyBorder="1" applyProtection="1"/>
    <xf numFmtId="0" fontId="46" fillId="0" borderId="3" xfId="0" applyFont="1" applyBorder="1" applyProtection="1"/>
    <xf numFmtId="0" fontId="24" fillId="2" borderId="1" xfId="0" applyFont="1" applyFill="1" applyBorder="1" applyProtection="1">
      <protection hidden="1"/>
    </xf>
    <xf numFmtId="0" fontId="7" fillId="3" borderId="102" xfId="0" applyFont="1" applyFill="1" applyBorder="1" applyAlignment="1" applyProtection="1">
      <alignment horizontal="left" vertical="center"/>
    </xf>
    <xf numFmtId="0" fontId="7" fillId="3" borderId="150" xfId="0" applyFont="1" applyFill="1" applyBorder="1" applyAlignment="1" applyProtection="1">
      <alignment horizontal="left" vertical="center"/>
    </xf>
    <xf numFmtId="0" fontId="7" fillId="3" borderId="27" xfId="0" applyFont="1" applyFill="1" applyBorder="1" applyAlignment="1" applyProtection="1">
      <alignment horizontal="left" vertical="center"/>
    </xf>
    <xf numFmtId="0" fontId="0" fillId="0" borderId="7" xfId="0" applyFill="1" applyBorder="1" applyAlignment="1" applyProtection="1">
      <alignment horizontal="right"/>
    </xf>
    <xf numFmtId="1" fontId="32" fillId="20" borderId="2" xfId="0" applyNumberFormat="1" applyFont="1" applyFill="1" applyBorder="1" applyAlignment="1" applyProtection="1">
      <alignment horizontal="right"/>
    </xf>
    <xf numFmtId="1" fontId="32" fillId="20" borderId="57" xfId="0" applyNumberFormat="1" applyFont="1" applyFill="1" applyBorder="1" applyAlignment="1" applyProtection="1">
      <alignment horizontal="right"/>
    </xf>
    <xf numFmtId="0" fontId="0" fillId="22" borderId="2" xfId="0" applyFont="1" applyFill="1" applyBorder="1" applyAlignment="1" applyProtection="1">
      <alignment wrapText="1"/>
    </xf>
    <xf numFmtId="0" fontId="0" fillId="20" borderId="71" xfId="0" applyFill="1" applyBorder="1" applyProtection="1"/>
    <xf numFmtId="0" fontId="0" fillId="9" borderId="56" xfId="0" applyFill="1" applyBorder="1" applyProtection="1"/>
    <xf numFmtId="0" fontId="0" fillId="18" borderId="0" xfId="0" applyFill="1" applyAlignment="1"/>
    <xf numFmtId="0" fontId="24" fillId="0" borderId="11" xfId="0" applyFont="1" applyBorder="1" applyProtection="1">
      <protection hidden="1"/>
    </xf>
    <xf numFmtId="0" fontId="55" fillId="0" borderId="148" xfId="0" applyFont="1" applyBorder="1" applyAlignment="1" applyProtection="1">
      <alignment vertical="top"/>
      <protection locked="0"/>
    </xf>
    <xf numFmtId="0" fontId="55" fillId="0" borderId="0" xfId="0" applyFont="1" applyBorder="1" applyAlignment="1" applyProtection="1">
      <alignment vertical="top"/>
      <protection locked="0"/>
    </xf>
    <xf numFmtId="0" fontId="55" fillId="0" borderId="12" xfId="0" applyFont="1" applyBorder="1" applyAlignment="1" applyProtection="1">
      <alignment vertical="top"/>
      <protection locked="0"/>
    </xf>
    <xf numFmtId="0" fontId="55" fillId="0" borderId="148" xfId="0" applyFont="1" applyBorder="1" applyAlignment="1" applyProtection="1">
      <alignment vertical="top" wrapText="1"/>
      <protection locked="0"/>
    </xf>
    <xf numFmtId="0" fontId="55" fillId="0" borderId="12" xfId="0" applyFont="1" applyBorder="1" applyAlignment="1" applyProtection="1">
      <alignment vertical="top" wrapText="1"/>
      <protection locked="0"/>
    </xf>
    <xf numFmtId="0" fontId="51" fillId="0" borderId="148" xfId="0" applyFont="1" applyBorder="1" applyAlignment="1">
      <alignment vertical="top"/>
    </xf>
    <xf numFmtId="0" fontId="51" fillId="0" borderId="0" xfId="0" applyFont="1" applyAlignment="1">
      <alignment vertical="top"/>
    </xf>
    <xf numFmtId="0" fontId="51" fillId="0" borderId="12" xfId="0" applyFont="1" applyBorder="1" applyAlignment="1">
      <alignment vertical="top"/>
    </xf>
    <xf numFmtId="0" fontId="55" fillId="0" borderId="0" xfId="0" applyFont="1" applyBorder="1" applyAlignment="1" applyProtection="1">
      <protection locked="0"/>
    </xf>
    <xf numFmtId="0" fontId="0" fillId="20" borderId="69" xfId="0" applyFill="1" applyBorder="1" applyProtection="1"/>
    <xf numFmtId="0" fontId="0" fillId="20" borderId="76" xfId="0" applyFill="1" applyBorder="1" applyProtection="1"/>
    <xf numFmtId="0" fontId="0" fillId="20" borderId="75" xfId="0" applyFill="1" applyBorder="1" applyProtection="1"/>
    <xf numFmtId="166" fontId="0" fillId="20" borderId="69" xfId="0" applyNumberFormat="1" applyFill="1" applyBorder="1" applyProtection="1"/>
    <xf numFmtId="0" fontId="0" fillId="0" borderId="0" xfId="0"/>
    <xf numFmtId="166" fontId="0" fillId="8" borderId="69" xfId="0" applyNumberFormat="1" applyFill="1" applyBorder="1" applyProtection="1"/>
    <xf numFmtId="166" fontId="0" fillId="18" borderId="69" xfId="0" applyNumberFormat="1" applyFill="1" applyBorder="1" applyProtection="1"/>
    <xf numFmtId="0" fontId="0" fillId="0" borderId="0" xfId="0"/>
    <xf numFmtId="0" fontId="0" fillId="0" borderId="0" xfId="0"/>
    <xf numFmtId="0" fontId="51" fillId="4" borderId="0" xfId="0" applyFont="1" applyFill="1" applyBorder="1" applyAlignment="1">
      <alignment horizontal="center" vertical="top" wrapText="1"/>
    </xf>
    <xf numFmtId="0" fontId="51" fillId="0" borderId="0" xfId="0" applyFont="1"/>
    <xf numFmtId="0" fontId="51" fillId="0" borderId="0" xfId="0" applyFont="1" applyAlignment="1">
      <alignment horizontal="center"/>
    </xf>
    <xf numFmtId="0" fontId="101" fillId="0" borderId="2" xfId="3" applyFont="1" applyFill="1" applyBorder="1"/>
    <xf numFmtId="0" fontId="101" fillId="0" borderId="2" xfId="3" applyFont="1" applyFill="1" applyBorder="1" applyAlignment="1">
      <alignment vertical="top"/>
    </xf>
    <xf numFmtId="0" fontId="102" fillId="0" borderId="2" xfId="3" applyFont="1" applyFill="1" applyBorder="1"/>
    <xf numFmtId="0" fontId="102" fillId="0" borderId="2" xfId="3" applyFont="1" applyFill="1" applyBorder="1" applyAlignment="1">
      <alignment vertical="top"/>
    </xf>
    <xf numFmtId="0" fontId="101" fillId="0" borderId="2" xfId="3" applyFont="1" applyFill="1" applyBorder="1" applyAlignment="1">
      <alignment horizontal="right"/>
    </xf>
    <xf numFmtId="0" fontId="101" fillId="0" borderId="4" xfId="3" applyFont="1" applyFill="1" applyBorder="1"/>
    <xf numFmtId="0" fontId="101" fillId="0" borderId="0" xfId="3" applyFont="1" applyFill="1" applyBorder="1"/>
    <xf numFmtId="0" fontId="55" fillId="0" borderId="0" xfId="0" applyFont="1" applyAlignment="1" applyProtection="1">
      <alignment vertical="top"/>
      <protection locked="0"/>
    </xf>
    <xf numFmtId="0" fontId="55" fillId="0" borderId="0" xfId="0" applyFont="1" applyAlignment="1" applyProtection="1">
      <alignment vertical="top" wrapText="1"/>
      <protection locked="0"/>
    </xf>
    <xf numFmtId="0" fontId="55" fillId="0" borderId="0" xfId="0" applyFont="1" applyProtection="1">
      <protection locked="0"/>
    </xf>
    <xf numFmtId="0" fontId="51" fillId="0" borderId="2" xfId="0" applyFont="1" applyBorder="1" applyAlignment="1">
      <alignment horizontal="center"/>
    </xf>
    <xf numFmtId="0" fontId="103" fillId="0" borderId="2" xfId="0" applyFont="1" applyBorder="1" applyAlignment="1">
      <alignment horizontal="center"/>
    </xf>
    <xf numFmtId="0" fontId="103" fillId="0" borderId="2" xfId="0" applyFont="1" applyBorder="1" applyAlignment="1">
      <alignment horizontal="center" vertical="top"/>
    </xf>
    <xf numFmtId="0" fontId="103" fillId="0" borderId="2" xfId="0" applyFont="1" applyBorder="1" applyAlignment="1">
      <alignment horizontal="center" wrapText="1"/>
    </xf>
    <xf numFmtId="0" fontId="51" fillId="0" borderId="2" xfId="0" applyFont="1" applyBorder="1" applyAlignment="1">
      <alignment horizontal="center" wrapText="1"/>
    </xf>
    <xf numFmtId="0" fontId="51" fillId="0" borderId="2" xfId="0" applyFont="1" applyBorder="1" applyAlignment="1">
      <alignment horizontal="center" vertical="top"/>
    </xf>
    <xf numFmtId="0" fontId="51" fillId="0" borderId="4" xfId="0" applyFont="1" applyBorder="1" applyAlignment="1">
      <alignment horizontal="center"/>
    </xf>
    <xf numFmtId="0" fontId="55" fillId="0" borderId="12" xfId="0" applyFont="1" applyBorder="1" applyProtection="1">
      <protection locked="0"/>
    </xf>
    <xf numFmtId="0" fontId="0" fillId="0" borderId="73" xfId="0" applyBorder="1" applyProtection="1"/>
    <xf numFmtId="0" fontId="32" fillId="8" borderId="2" xfId="0" applyFont="1" applyFill="1" applyBorder="1" applyAlignment="1" applyProtection="1">
      <alignment horizontal="right" wrapText="1"/>
    </xf>
    <xf numFmtId="0" fontId="26" fillId="20" borderId="2" xfId="0" applyFont="1" applyFill="1" applyBorder="1" applyAlignment="1" applyProtection="1">
      <alignment horizontal="center" vertical="center"/>
    </xf>
    <xf numFmtId="0" fontId="108" fillId="4" borderId="0" xfId="0" applyFont="1" applyFill="1" applyBorder="1" applyAlignment="1" applyProtection="1">
      <alignment vertical="top" wrapText="1"/>
      <protection hidden="1"/>
    </xf>
    <xf numFmtId="0" fontId="24" fillId="4" borderId="0" xfId="0" applyFont="1" applyFill="1" applyBorder="1" applyAlignment="1" applyProtection="1">
      <alignment horizontal="left" vertical="center" wrapText="1"/>
      <protection hidden="1"/>
    </xf>
    <xf numFmtId="0" fontId="26" fillId="20" borderId="7" xfId="0" applyFont="1" applyFill="1" applyBorder="1" applyAlignment="1" applyProtection="1">
      <alignment horizontal="center" vertical="center"/>
    </xf>
    <xf numFmtId="0" fontId="0" fillId="5" borderId="24" xfId="0" applyFont="1" applyFill="1" applyBorder="1" applyAlignment="1" applyProtection="1">
      <alignment horizontal="left" vertical="center" wrapText="1" indent="2"/>
    </xf>
    <xf numFmtId="0" fontId="23" fillId="4" borderId="0" xfId="0" applyFont="1" applyFill="1" applyAlignment="1" applyProtection="1">
      <alignment vertical="center"/>
    </xf>
    <xf numFmtId="0" fontId="26" fillId="0" borderId="7" xfId="0" applyFont="1" applyFill="1" applyBorder="1" applyAlignment="1" applyProtection="1">
      <alignment horizontal="center" vertical="center"/>
      <protection locked="0"/>
    </xf>
    <xf numFmtId="0" fontId="25" fillId="6" borderId="124" xfId="0" applyFont="1" applyFill="1" applyBorder="1" applyAlignment="1" applyProtection="1">
      <alignment vertical="center"/>
    </xf>
    <xf numFmtId="0" fontId="23" fillId="4" borderId="0" xfId="0" applyFont="1" applyFill="1" applyBorder="1" applyAlignment="1" applyProtection="1">
      <alignment horizontal="right" vertical="center"/>
      <protection hidden="1"/>
    </xf>
    <xf numFmtId="0" fontId="23" fillId="4" borderId="0" xfId="0" applyFont="1" applyFill="1" applyBorder="1" applyAlignment="1" applyProtection="1">
      <alignment horizontal="right" vertical="center" wrapText="1"/>
      <protection hidden="1"/>
    </xf>
    <xf numFmtId="0" fontId="23" fillId="4" borderId="0" xfId="0" applyFont="1" applyFill="1" applyAlignment="1" applyProtection="1">
      <alignment horizontal="right" vertical="center"/>
    </xf>
    <xf numFmtId="0" fontId="24" fillId="4" borderId="0" xfId="0" applyFont="1" applyFill="1" applyBorder="1" applyAlignment="1" applyProtection="1">
      <alignment horizontal="right" wrapText="1"/>
      <protection hidden="1"/>
    </xf>
    <xf numFmtId="0" fontId="24" fillId="4" borderId="0" xfId="0" applyFont="1" applyFill="1" applyAlignment="1" applyProtection="1">
      <alignment horizontal="right"/>
      <protection hidden="1"/>
    </xf>
    <xf numFmtId="0" fontId="104" fillId="5" borderId="24" xfId="0" applyFont="1" applyFill="1" applyBorder="1" applyAlignment="1" applyProtection="1">
      <alignment horizontal="left" vertical="center"/>
    </xf>
    <xf numFmtId="0" fontId="105" fillId="5" borderId="88" xfId="0" applyFont="1" applyFill="1" applyBorder="1" applyAlignment="1" applyProtection="1">
      <alignment horizontal="left" vertical="center" wrapText="1"/>
    </xf>
    <xf numFmtId="0" fontId="0" fillId="5" borderId="24" xfId="0" applyFont="1" applyFill="1" applyBorder="1" applyAlignment="1" applyProtection="1">
      <alignment vertical="center"/>
    </xf>
    <xf numFmtId="0" fontId="32" fillId="5" borderId="88" xfId="0" applyFont="1" applyFill="1" applyBorder="1" applyAlignment="1" applyProtection="1">
      <alignment vertical="center"/>
    </xf>
    <xf numFmtId="0" fontId="28" fillId="6" borderId="0" xfId="0" applyFont="1" applyFill="1" applyBorder="1" applyAlignment="1" applyProtection="1">
      <alignment vertical="center"/>
    </xf>
    <xf numFmtId="0" fontId="0" fillId="2" borderId="0" xfId="0" applyFill="1" applyBorder="1" applyAlignment="1" applyProtection="1">
      <alignment vertical="center" wrapText="1"/>
    </xf>
    <xf numFmtId="0" fontId="28" fillId="6" borderId="0" xfId="0" applyFont="1" applyFill="1" applyBorder="1" applyAlignment="1" applyProtection="1">
      <alignment vertical="center" wrapText="1"/>
    </xf>
    <xf numFmtId="0" fontId="0" fillId="5" borderId="24" xfId="0" applyFont="1" applyFill="1" applyBorder="1" applyAlignment="1" applyProtection="1">
      <alignment vertical="center" wrapText="1"/>
    </xf>
    <xf numFmtId="0" fontId="32" fillId="5" borderId="24" xfId="0" applyFont="1" applyFill="1" applyBorder="1" applyAlignment="1" applyProtection="1">
      <alignment vertical="center" wrapText="1"/>
    </xf>
    <xf numFmtId="0" fontId="32" fillId="5" borderId="88" xfId="0" applyFont="1" applyFill="1" applyBorder="1" applyAlignment="1" applyProtection="1">
      <alignment vertical="center" wrapText="1"/>
    </xf>
    <xf numFmtId="0" fontId="104" fillId="5" borderId="24" xfId="0" applyFont="1" applyFill="1" applyBorder="1" applyAlignment="1" applyProtection="1">
      <alignment vertical="center"/>
    </xf>
    <xf numFmtId="0" fontId="104" fillId="5" borderId="24" xfId="0" applyFont="1" applyFill="1" applyBorder="1" applyAlignment="1" applyProtection="1">
      <alignment vertical="center" wrapText="1"/>
    </xf>
    <xf numFmtId="164" fontId="26" fillId="5" borderId="25" xfId="0" applyNumberFormat="1" applyFont="1" applyFill="1" applyBorder="1" applyAlignment="1" applyProtection="1">
      <alignment horizontal="center" vertical="center"/>
    </xf>
    <xf numFmtId="164" fontId="37" fillId="5" borderId="34" xfId="0" applyNumberFormat="1" applyFont="1" applyFill="1" applyBorder="1" applyAlignment="1" applyProtection="1">
      <alignment horizontal="center" vertical="center"/>
    </xf>
    <xf numFmtId="0" fontId="0" fillId="2" borderId="0" xfId="0" applyFill="1" applyAlignment="1" applyProtection="1">
      <alignment horizontal="left" vertical="top" wrapText="1"/>
      <protection locked="0"/>
    </xf>
    <xf numFmtId="0" fontId="26" fillId="0" borderId="36" xfId="0" applyFont="1" applyBorder="1" applyAlignment="1" applyProtection="1">
      <alignment horizontal="left" vertical="top" wrapText="1"/>
      <protection locked="0"/>
    </xf>
    <xf numFmtId="0" fontId="26" fillId="0" borderId="2" xfId="0" applyFont="1" applyFill="1" applyBorder="1" applyAlignment="1" applyProtection="1">
      <alignment horizontal="left" vertical="center" wrapText="1"/>
      <protection locked="0"/>
    </xf>
    <xf numFmtId="0" fontId="0" fillId="4" borderId="0" xfId="0" applyFill="1" applyAlignment="1" applyProtection="1">
      <alignment vertical="top" wrapText="1"/>
      <protection locked="0"/>
    </xf>
    <xf numFmtId="0" fontId="0" fillId="8" borderId="4" xfId="0" applyFill="1" applyBorder="1" applyProtection="1"/>
    <xf numFmtId="0" fontId="0" fillId="8" borderId="7" xfId="0" applyFill="1" applyBorder="1" applyProtection="1"/>
    <xf numFmtId="0" fontId="0" fillId="18" borderId="5" xfId="0" applyFill="1" applyBorder="1" applyProtection="1"/>
    <xf numFmtId="0" fontId="0" fillId="8" borderId="9" xfId="0" applyFill="1" applyBorder="1" applyProtection="1"/>
    <xf numFmtId="0" fontId="0" fillId="18" borderId="7" xfId="0" applyFill="1" applyBorder="1" applyProtection="1"/>
    <xf numFmtId="0" fontId="0" fillId="0" borderId="10" xfId="0" applyBorder="1" applyProtection="1"/>
    <xf numFmtId="0" fontId="0" fillId="13" borderId="99" xfId="0" applyFill="1" applyBorder="1" applyProtection="1"/>
    <xf numFmtId="0" fontId="0" fillId="9" borderId="81" xfId="0" applyFill="1" applyBorder="1" applyProtection="1"/>
    <xf numFmtId="0" fontId="0" fillId="8" borderId="152" xfId="0" applyFill="1" applyBorder="1" applyProtection="1"/>
    <xf numFmtId="0" fontId="95" fillId="0" borderId="2" xfId="0" applyFont="1" applyFill="1" applyBorder="1" applyAlignment="1" applyProtection="1">
      <alignment horizontal="left" indent="2"/>
    </xf>
    <xf numFmtId="0" fontId="95" fillId="0" borderId="0" xfId="0" applyFont="1"/>
    <xf numFmtId="0" fontId="109" fillId="0" borderId="119" xfId="0" applyFont="1" applyBorder="1" applyProtection="1">
      <protection locked="0"/>
    </xf>
    <xf numFmtId="0" fontId="110" fillId="0" borderId="148" xfId="0" applyFont="1" applyBorder="1" applyAlignment="1" applyProtection="1">
      <alignment vertical="top"/>
      <protection locked="0"/>
    </xf>
    <xf numFmtId="0" fontId="0" fillId="8" borderId="61" xfId="0" applyFill="1" applyBorder="1" applyProtection="1"/>
    <xf numFmtId="0" fontId="32" fillId="0" borderId="5" xfId="0" applyFont="1" applyBorder="1" applyProtection="1"/>
    <xf numFmtId="0" fontId="0" fillId="12" borderId="5" xfId="0" applyFill="1" applyBorder="1" applyAlignment="1" applyProtection="1">
      <alignment wrapText="1"/>
    </xf>
    <xf numFmtId="0" fontId="0" fillId="12" borderId="62" xfId="0" applyFill="1" applyBorder="1" applyAlignment="1" applyProtection="1">
      <alignment wrapText="1"/>
    </xf>
    <xf numFmtId="0" fontId="0" fillId="12" borderId="61" xfId="0" applyFill="1" applyBorder="1" applyProtection="1"/>
    <xf numFmtId="0" fontId="0" fillId="12" borderId="5" xfId="0" applyFill="1" applyBorder="1" applyProtection="1"/>
    <xf numFmtId="0" fontId="0" fillId="12" borderId="62" xfId="0" applyFill="1" applyBorder="1" applyProtection="1"/>
    <xf numFmtId="0" fontId="0" fillId="0" borderId="55" xfId="0" applyFill="1" applyBorder="1" applyAlignment="1" applyProtection="1">
      <alignment horizontal="right"/>
    </xf>
    <xf numFmtId="0" fontId="26" fillId="4" borderId="5" xfId="0" applyFont="1" applyFill="1" applyBorder="1" applyAlignment="1" applyProtection="1">
      <alignment horizontal="left" vertical="center" wrapText="1"/>
      <protection locked="0"/>
    </xf>
    <xf numFmtId="0" fontId="26" fillId="4" borderId="1" xfId="0" applyFont="1" applyFill="1" applyBorder="1" applyAlignment="1" applyProtection="1">
      <alignment horizontal="left" vertical="center"/>
      <protection locked="0"/>
    </xf>
    <xf numFmtId="0" fontId="26" fillId="0" borderId="153" xfId="0" applyFont="1" applyFill="1" applyBorder="1" applyAlignment="1" applyProtection="1">
      <alignment horizontal="left" vertical="top" wrapText="1"/>
      <protection locked="0"/>
    </xf>
    <xf numFmtId="0" fontId="0" fillId="23" borderId="56" xfId="0" applyFill="1" applyBorder="1" applyAlignment="1" applyProtection="1">
      <alignment horizontal="right"/>
    </xf>
    <xf numFmtId="0" fontId="111" fillId="0" borderId="2" xfId="0" applyFont="1" applyFill="1" applyBorder="1" applyAlignment="1" applyProtection="1">
      <alignment horizontal="left" indent="2"/>
    </xf>
    <xf numFmtId="0" fontId="107" fillId="3" borderId="101" xfId="0" applyFont="1" applyFill="1" applyBorder="1" applyAlignment="1" applyProtection="1">
      <alignment horizontal="right" vertical="center" wrapText="1"/>
      <protection hidden="1"/>
    </xf>
    <xf numFmtId="0" fontId="111" fillId="0" borderId="59" xfId="0" applyFont="1" applyFill="1" applyBorder="1" applyAlignment="1" applyProtection="1">
      <alignment horizontal="left" indent="2"/>
    </xf>
    <xf numFmtId="0" fontId="0" fillId="22" borderId="15" xfId="0" applyFont="1" applyFill="1" applyBorder="1" applyAlignment="1" applyProtection="1">
      <alignment wrapText="1"/>
    </xf>
    <xf numFmtId="0" fontId="32" fillId="13" borderId="65" xfId="0" applyFont="1" applyFill="1" applyBorder="1" applyAlignment="1" applyProtection="1">
      <alignment wrapText="1"/>
    </xf>
    <xf numFmtId="0" fontId="95" fillId="0" borderId="3" xfId="0" applyFont="1" applyFill="1" applyBorder="1" applyAlignment="1" applyProtection="1">
      <alignment horizontal="left" indent="2"/>
    </xf>
    <xf numFmtId="0" fontId="0" fillId="12" borderId="55" xfId="0" applyFont="1" applyFill="1" applyBorder="1" applyAlignment="1" applyProtection="1">
      <alignment wrapText="1"/>
    </xf>
    <xf numFmtId="0" fontId="0" fillId="12" borderId="57" xfId="0" applyFont="1" applyFill="1" applyBorder="1" applyAlignment="1" applyProtection="1">
      <alignment wrapText="1"/>
    </xf>
    <xf numFmtId="0" fontId="0" fillId="12" borderId="60" xfId="0" applyFont="1" applyFill="1" applyBorder="1" applyAlignment="1" applyProtection="1">
      <alignment wrapText="1"/>
    </xf>
    <xf numFmtId="0" fontId="95" fillId="0" borderId="2" xfId="0" applyFont="1" applyBorder="1" applyProtection="1"/>
    <xf numFmtId="9" fontId="0" fillId="0" borderId="2" xfId="0" applyNumberFormat="1" applyBorder="1"/>
    <xf numFmtId="0" fontId="0" fillId="19" borderId="2" xfId="0" applyFill="1" applyBorder="1"/>
    <xf numFmtId="164" fontId="0" fillId="0" borderId="2" xfId="0" applyNumberFormat="1" applyBorder="1"/>
    <xf numFmtId="164" fontId="65" fillId="5" borderId="34" xfId="2" applyNumberFormat="1" applyFont="1" applyFill="1" applyBorder="1" applyAlignment="1" applyProtection="1">
      <alignment horizontal="center" vertical="center"/>
      <protection hidden="1"/>
    </xf>
    <xf numFmtId="164" fontId="64" fillId="5" borderId="28" xfId="2" applyNumberFormat="1" applyFont="1" applyFill="1" applyBorder="1" applyAlignment="1" applyProtection="1">
      <alignment horizontal="center" vertical="center"/>
      <protection hidden="1"/>
    </xf>
    <xf numFmtId="9" fontId="77" fillId="5" borderId="154" xfId="2" applyNumberFormat="1" applyFont="1" applyFill="1" applyBorder="1" applyAlignment="1" applyProtection="1">
      <alignment horizontal="center" vertical="center"/>
      <protection hidden="1"/>
    </xf>
    <xf numFmtId="9" fontId="77" fillId="5" borderId="155" xfId="2" applyNumberFormat="1" applyFont="1" applyFill="1" applyBorder="1" applyAlignment="1" applyProtection="1">
      <alignment horizontal="center" vertical="center"/>
      <protection hidden="1"/>
    </xf>
    <xf numFmtId="164" fontId="65" fillId="5" borderId="155" xfId="2" applyNumberFormat="1" applyFont="1" applyFill="1" applyBorder="1" applyAlignment="1" applyProtection="1">
      <alignment horizontal="center" vertical="center"/>
      <protection hidden="1"/>
    </xf>
    <xf numFmtId="9" fontId="67" fillId="3" borderId="155" xfId="0" applyNumberFormat="1" applyFont="1" applyFill="1" applyBorder="1" applyAlignment="1" applyProtection="1">
      <alignment horizontal="right" vertical="center"/>
      <protection hidden="1"/>
    </xf>
    <xf numFmtId="0" fontId="67" fillId="3" borderId="156" xfId="0" applyFont="1" applyFill="1" applyBorder="1" applyProtection="1">
      <protection hidden="1"/>
    </xf>
    <xf numFmtId="0" fontId="16" fillId="3" borderId="157" xfId="0" applyFont="1" applyFill="1" applyBorder="1" applyAlignment="1" applyProtection="1">
      <alignment horizontal="right" vertical="center"/>
      <protection hidden="1"/>
    </xf>
    <xf numFmtId="0" fontId="23" fillId="10" borderId="2" xfId="0" applyFont="1" applyFill="1" applyBorder="1" applyProtection="1"/>
    <xf numFmtId="0" fontId="32" fillId="0" borderId="2" xfId="0" applyFont="1" applyFill="1" applyBorder="1" applyProtection="1"/>
    <xf numFmtId="0" fontId="0" fillId="0" borderId="2" xfId="0" applyFont="1" applyFill="1" applyBorder="1" applyProtection="1"/>
    <xf numFmtId="0" fontId="91" fillId="10" borderId="2" xfId="0" applyFont="1" applyFill="1" applyBorder="1" applyProtection="1"/>
    <xf numFmtId="0" fontId="0" fillId="0" borderId="72" xfId="0" applyBorder="1" applyProtection="1"/>
    <xf numFmtId="0" fontId="7" fillId="3" borderId="40" xfId="0" applyFont="1" applyFill="1" applyBorder="1" applyAlignment="1" applyProtection="1">
      <alignment horizontal="left" vertical="center"/>
    </xf>
    <xf numFmtId="0" fontId="7" fillId="3" borderId="0" xfId="0" applyFont="1" applyFill="1" applyBorder="1" applyAlignment="1" applyProtection="1">
      <alignment horizontal="left" vertical="center"/>
    </xf>
    <xf numFmtId="0" fontId="1" fillId="5" borderId="0" xfId="0" applyFont="1" applyFill="1" applyBorder="1" applyAlignment="1" applyProtection="1">
      <alignment vertical="center"/>
    </xf>
    <xf numFmtId="165" fontId="7" fillId="3" borderId="158" xfId="0" applyNumberFormat="1" applyFont="1" applyFill="1" applyBorder="1" applyAlignment="1" applyProtection="1">
      <alignment horizontal="left" vertical="center"/>
    </xf>
    <xf numFmtId="0" fontId="0" fillId="0" borderId="27" xfId="0" applyBorder="1" applyProtection="1"/>
    <xf numFmtId="0" fontId="16" fillId="3" borderId="105" xfId="0" applyFont="1" applyFill="1" applyBorder="1" applyAlignment="1" applyProtection="1">
      <alignment horizontal="right" vertical="center"/>
      <protection hidden="1"/>
    </xf>
    <xf numFmtId="0" fontId="0" fillId="24" borderId="56" xfId="0" applyFill="1" applyBorder="1" applyAlignment="1" applyProtection="1">
      <alignment horizontal="right"/>
    </xf>
    <xf numFmtId="0" fontId="0" fillId="24" borderId="5" xfId="0" applyFill="1" applyBorder="1" applyProtection="1"/>
    <xf numFmtId="0" fontId="32" fillId="0" borderId="15" xfId="0" applyFont="1" applyFill="1" applyBorder="1" applyProtection="1"/>
    <xf numFmtId="0" fontId="32" fillId="0" borderId="3" xfId="0" applyFont="1" applyBorder="1" applyAlignment="1" applyProtection="1">
      <alignment wrapText="1"/>
    </xf>
    <xf numFmtId="0" fontId="19" fillId="3" borderId="41" xfId="0" applyFont="1" applyFill="1" applyBorder="1" applyAlignment="1" applyProtection="1">
      <alignment vertical="top"/>
    </xf>
    <xf numFmtId="0" fontId="0" fillId="0" borderId="6" xfId="0" applyBorder="1" applyProtection="1"/>
    <xf numFmtId="0" fontId="0" fillId="8" borderId="6" xfId="0" applyFill="1" applyBorder="1" applyProtection="1"/>
    <xf numFmtId="0" fontId="0" fillId="18" borderId="6" xfId="0" applyFill="1" applyBorder="1" applyProtection="1"/>
    <xf numFmtId="0" fontId="0" fillId="13" borderId="159" xfId="0" applyFill="1" applyBorder="1" applyProtection="1"/>
    <xf numFmtId="0" fontId="0" fillId="10" borderId="77" xfId="0" applyFill="1" applyBorder="1" applyProtection="1"/>
    <xf numFmtId="0" fontId="0" fillId="9" borderId="77" xfId="0" applyFill="1" applyBorder="1" applyProtection="1"/>
    <xf numFmtId="0" fontId="0" fillId="0" borderId="9" xfId="0" applyBorder="1" applyProtection="1"/>
    <xf numFmtId="0" fontId="23" fillId="10" borderId="77" xfId="0" applyFont="1" applyFill="1" applyBorder="1" applyAlignment="1" applyProtection="1">
      <alignment wrapText="1"/>
    </xf>
    <xf numFmtId="0" fontId="23" fillId="10" borderId="149" xfId="0" applyFont="1" applyFill="1" applyBorder="1" applyAlignment="1" applyProtection="1">
      <alignment horizontal="center"/>
    </xf>
    <xf numFmtId="0" fontId="0" fillId="0" borderId="6" xfId="0" applyFill="1" applyBorder="1" applyProtection="1"/>
    <xf numFmtId="0" fontId="0" fillId="0" borderId="160" xfId="0" applyBorder="1" applyProtection="1"/>
    <xf numFmtId="0" fontId="32" fillId="13" borderId="118" xfId="0" applyFont="1" applyFill="1" applyBorder="1" applyAlignment="1" applyProtection="1">
      <alignment wrapText="1"/>
    </xf>
    <xf numFmtId="0" fontId="0" fillId="8" borderId="161" xfId="0" applyFill="1" applyBorder="1" applyProtection="1"/>
    <xf numFmtId="0" fontId="23" fillId="10" borderId="55" xfId="0" applyFont="1" applyFill="1" applyBorder="1" applyProtection="1"/>
    <xf numFmtId="0" fontId="32" fillId="8" borderId="57" xfId="0" applyFont="1" applyFill="1" applyBorder="1" applyAlignment="1" applyProtection="1">
      <alignment horizontal="right" wrapText="1"/>
    </xf>
    <xf numFmtId="0" fontId="0" fillId="18" borderId="57" xfId="0" applyFill="1" applyBorder="1" applyProtection="1"/>
    <xf numFmtId="0" fontId="32" fillId="13" borderId="60" xfId="0" applyFont="1" applyFill="1" applyBorder="1" applyAlignment="1" applyProtection="1">
      <alignment wrapText="1"/>
    </xf>
    <xf numFmtId="0" fontId="23" fillId="10" borderId="106" xfId="0" applyFont="1" applyFill="1" applyBorder="1" applyProtection="1"/>
    <xf numFmtId="0" fontId="0" fillId="8" borderId="7" xfId="0" applyFont="1" applyFill="1" applyBorder="1" applyAlignment="1" applyProtection="1">
      <alignment horizontal="center" wrapText="1"/>
    </xf>
    <xf numFmtId="0" fontId="23" fillId="10" borderId="68" xfId="0" applyFont="1" applyFill="1" applyBorder="1" applyAlignment="1" applyProtection="1">
      <alignment wrapText="1"/>
    </xf>
    <xf numFmtId="0" fontId="32" fillId="8" borderId="7" xfId="0" applyFont="1" applyFill="1" applyBorder="1" applyAlignment="1" applyProtection="1">
      <alignment horizontal="center" wrapText="1"/>
    </xf>
    <xf numFmtId="0" fontId="0" fillId="13" borderId="118" xfId="0" applyFill="1" applyBorder="1" applyProtection="1"/>
    <xf numFmtId="0" fontId="0" fillId="18" borderId="70" xfId="0" applyFill="1" applyBorder="1" applyProtection="1"/>
    <xf numFmtId="0" fontId="0" fillId="0" borderId="152" xfId="0" applyBorder="1" applyProtection="1"/>
    <xf numFmtId="0" fontId="0" fillId="20" borderId="2" xfId="0" applyFill="1" applyBorder="1" applyProtection="1"/>
    <xf numFmtId="0" fontId="0" fillId="0" borderId="81" xfId="0" applyBorder="1" applyProtection="1"/>
    <xf numFmtId="0" fontId="0" fillId="8" borderId="0" xfId="0" applyFill="1" applyBorder="1" applyProtection="1"/>
    <xf numFmtId="0" fontId="0" fillId="8" borderId="19" xfId="0" applyFill="1" applyBorder="1" applyProtection="1"/>
    <xf numFmtId="0" fontId="0" fillId="8" borderId="73" xfId="0" applyFill="1" applyBorder="1" applyProtection="1"/>
    <xf numFmtId="0" fontId="0" fillId="8" borderId="19" xfId="0" applyFont="1" applyFill="1" applyBorder="1" applyProtection="1"/>
    <xf numFmtId="0" fontId="0" fillId="8" borderId="22" xfId="0" applyFill="1" applyBorder="1" applyProtection="1"/>
    <xf numFmtId="0" fontId="0" fillId="20" borderId="0" xfId="0" applyFill="1" applyBorder="1" applyAlignment="1" applyProtection="1">
      <alignment horizontal="right"/>
    </xf>
    <xf numFmtId="1" fontId="0" fillId="20" borderId="2" xfId="0" applyNumberFormat="1" applyFont="1" applyFill="1" applyBorder="1" applyProtection="1"/>
    <xf numFmtId="1" fontId="0" fillId="20" borderId="57" xfId="0" applyNumberFormat="1" applyFont="1" applyFill="1" applyBorder="1" applyProtection="1"/>
    <xf numFmtId="1" fontId="32" fillId="20" borderId="57" xfId="0" applyNumberFormat="1" applyFont="1" applyFill="1" applyBorder="1" applyProtection="1"/>
    <xf numFmtId="1" fontId="0" fillId="20" borderId="56" xfId="0" applyNumberFormat="1" applyFill="1" applyBorder="1" applyProtection="1"/>
    <xf numFmtId="1" fontId="0" fillId="20" borderId="2" xfId="0" applyNumberFormat="1" applyFill="1" applyBorder="1" applyProtection="1"/>
    <xf numFmtId="1" fontId="0" fillId="20" borderId="57" xfId="0" applyNumberFormat="1" applyFill="1" applyBorder="1" applyProtection="1"/>
    <xf numFmtId="0" fontId="32" fillId="2" borderId="0" xfId="0" applyFont="1" applyFill="1" applyProtection="1">
      <protection hidden="1"/>
    </xf>
    <xf numFmtId="0" fontId="0" fillId="8" borderId="7" xfId="0" applyFont="1" applyFill="1" applyBorder="1" applyProtection="1">
      <protection hidden="1"/>
    </xf>
    <xf numFmtId="0" fontId="0" fillId="0" borderId="2" xfId="0" applyBorder="1" applyProtection="1">
      <protection hidden="1"/>
    </xf>
    <xf numFmtId="0" fontId="0" fillId="0" borderId="2" xfId="0" applyFont="1" applyBorder="1" applyProtection="1">
      <protection hidden="1"/>
    </xf>
    <xf numFmtId="0" fontId="107" fillId="3" borderId="131" xfId="0" applyFont="1" applyFill="1" applyBorder="1" applyAlignment="1" applyProtection="1">
      <alignment horizontal="right" vertical="center"/>
      <protection hidden="1"/>
    </xf>
    <xf numFmtId="0" fontId="7" fillId="3" borderId="134" xfId="0" applyFont="1" applyFill="1" applyBorder="1" applyAlignment="1" applyProtection="1">
      <alignment horizontal="right" vertical="center"/>
      <protection hidden="1"/>
    </xf>
    <xf numFmtId="0" fontId="36" fillId="2" borderId="0" xfId="0" applyFont="1" applyFill="1" applyBorder="1" applyAlignment="1" applyProtection="1">
      <alignment horizontal="left" vertical="center" wrapText="1"/>
    </xf>
    <xf numFmtId="0" fontId="37" fillId="4" borderId="2" xfId="0" applyFont="1" applyFill="1" applyBorder="1" applyAlignment="1" applyProtection="1">
      <alignment horizontal="left" vertical="center" wrapText="1"/>
      <protection hidden="1"/>
    </xf>
    <xf numFmtId="0" fontId="32" fillId="2" borderId="126" xfId="0" applyFont="1" applyFill="1" applyBorder="1" applyAlignment="1" applyProtection="1">
      <alignment horizontal="left" wrapText="1"/>
      <protection hidden="1"/>
    </xf>
    <xf numFmtId="0" fontId="32" fillId="2" borderId="0" xfId="0" applyFont="1" applyFill="1" applyBorder="1" applyAlignment="1" applyProtection="1">
      <alignment horizontal="left" wrapText="1"/>
      <protection hidden="1"/>
    </xf>
    <xf numFmtId="0" fontId="32" fillId="2" borderId="97" xfId="0" applyFont="1" applyFill="1" applyBorder="1" applyAlignment="1" applyProtection="1">
      <alignment horizontal="left" wrapText="1"/>
      <protection hidden="1"/>
    </xf>
    <xf numFmtId="0" fontId="32" fillId="2" borderId="111" xfId="0" applyFont="1" applyFill="1" applyBorder="1" applyAlignment="1" applyProtection="1">
      <alignment vertical="top" wrapText="1"/>
      <protection hidden="1"/>
    </xf>
    <xf numFmtId="0" fontId="32" fillId="2" borderId="1" xfId="0" applyFont="1" applyFill="1" applyBorder="1" applyAlignment="1" applyProtection="1">
      <alignment vertical="top" wrapText="1"/>
      <protection hidden="1"/>
    </xf>
    <xf numFmtId="0" fontId="32" fillId="2" borderId="127" xfId="0" applyFont="1" applyFill="1" applyBorder="1" applyAlignment="1" applyProtection="1">
      <alignment horizontal="center" vertical="top" wrapText="1"/>
      <protection hidden="1"/>
    </xf>
    <xf numFmtId="0" fontId="32" fillId="4" borderId="5" xfId="0" applyFont="1" applyFill="1" applyBorder="1" applyAlignment="1" applyProtection="1">
      <alignment wrapText="1"/>
      <protection hidden="1"/>
    </xf>
    <xf numFmtId="0" fontId="32" fillId="2" borderId="97" xfId="0" applyFont="1" applyFill="1" applyBorder="1" applyAlignment="1" applyProtection="1">
      <alignment vertical="top" wrapText="1"/>
      <protection hidden="1"/>
    </xf>
    <xf numFmtId="0" fontId="32" fillId="2" borderId="0" xfId="0" applyFont="1" applyFill="1" applyBorder="1" applyAlignment="1" applyProtection="1">
      <alignment horizontal="center" vertical="top" wrapText="1"/>
      <protection hidden="1"/>
    </xf>
    <xf numFmtId="0" fontId="32" fillId="4" borderId="5" xfId="0" applyFont="1" applyFill="1" applyBorder="1" applyAlignment="1" applyProtection="1">
      <alignment vertical="top" wrapText="1"/>
      <protection hidden="1"/>
    </xf>
    <xf numFmtId="0" fontId="32" fillId="2" borderId="12" xfId="0" applyFont="1" applyFill="1" applyBorder="1" applyAlignment="1" applyProtection="1">
      <alignment horizontal="center" vertical="top" wrapText="1"/>
      <protection hidden="1"/>
    </xf>
    <xf numFmtId="0" fontId="83" fillId="3" borderId="1" xfId="0" applyFont="1" applyFill="1" applyBorder="1" applyAlignment="1" applyProtection="1">
      <alignment vertical="top" wrapText="1"/>
      <protection hidden="1"/>
    </xf>
    <xf numFmtId="0" fontId="48" fillId="4" borderId="1" xfId="0" applyFont="1" applyFill="1" applyBorder="1" applyAlignment="1" applyProtection="1">
      <alignment horizontal="left" wrapText="1"/>
      <protection hidden="1"/>
    </xf>
    <xf numFmtId="0" fontId="35" fillId="4" borderId="34" xfId="0" applyFont="1" applyFill="1" applyBorder="1" applyAlignment="1" applyProtection="1">
      <alignment horizontal="left" vertical="center" wrapText="1"/>
      <protection hidden="1"/>
    </xf>
    <xf numFmtId="0" fontId="1" fillId="4" borderId="27" xfId="0" applyFont="1" applyFill="1" applyBorder="1" applyAlignment="1" applyProtection="1">
      <alignment horizontal="left" vertical="center" wrapText="1"/>
      <protection hidden="1"/>
    </xf>
    <xf numFmtId="165" fontId="35" fillId="4" borderId="28" xfId="0" applyNumberFormat="1" applyFont="1" applyFill="1" applyBorder="1" applyAlignment="1" applyProtection="1">
      <alignment horizontal="left" vertical="center" wrapText="1"/>
      <protection hidden="1"/>
    </xf>
    <xf numFmtId="0" fontId="0" fillId="0" borderId="0" xfId="0" applyAlignment="1" applyProtection="1">
      <alignment wrapText="1"/>
      <protection hidden="1"/>
    </xf>
    <xf numFmtId="0" fontId="57" fillId="2" borderId="0" xfId="0" applyFont="1" applyFill="1" applyBorder="1" applyAlignment="1" applyProtection="1">
      <alignment horizontal="left" wrapText="1"/>
      <protection hidden="1"/>
    </xf>
    <xf numFmtId="10" fontId="26" fillId="4" borderId="2" xfId="0" applyNumberFormat="1" applyFont="1" applyFill="1" applyBorder="1" applyAlignment="1" applyProtection="1">
      <alignment horizontal="center" vertical="center" wrapText="1"/>
      <protection hidden="1"/>
    </xf>
    <xf numFmtId="0" fontId="37" fillId="4" borderId="4" xfId="0" applyFont="1" applyFill="1" applyBorder="1" applyAlignment="1" applyProtection="1">
      <alignment horizontal="left" vertical="center" wrapText="1"/>
      <protection hidden="1"/>
    </xf>
    <xf numFmtId="0" fontId="91" fillId="4" borderId="15" xfId="0" applyFont="1" applyFill="1" applyBorder="1" applyAlignment="1" applyProtection="1">
      <alignment vertical="center" wrapText="1"/>
      <protection hidden="1"/>
    </xf>
    <xf numFmtId="0" fontId="32" fillId="4" borderId="15" xfId="0" applyFont="1" applyFill="1" applyBorder="1" applyAlignment="1" applyProtection="1">
      <alignment vertical="center" wrapText="1"/>
      <protection hidden="1"/>
    </xf>
    <xf numFmtId="0" fontId="37" fillId="4" borderId="2" xfId="0" applyFont="1" applyFill="1" applyBorder="1" applyAlignment="1" applyProtection="1">
      <alignment horizontal="left" vertical="center"/>
      <protection hidden="1"/>
    </xf>
    <xf numFmtId="0" fontId="30" fillId="2" borderId="0" xfId="0" applyFont="1" applyFill="1" applyBorder="1" applyAlignment="1" applyProtection="1">
      <alignment horizontal="left" vertical="center" wrapText="1"/>
      <protection hidden="1"/>
    </xf>
    <xf numFmtId="0" fontId="0" fillId="20" borderId="56" xfId="0" applyFill="1" applyBorder="1" applyProtection="1"/>
    <xf numFmtId="0" fontId="58" fillId="2" borderId="0" xfId="0" applyFont="1" applyFill="1" applyBorder="1" applyProtection="1">
      <protection hidden="1"/>
    </xf>
    <xf numFmtId="0" fontId="81" fillId="2" borderId="0" xfId="0" applyFont="1" applyFill="1" applyBorder="1" applyAlignment="1" applyProtection="1">
      <alignment horizontal="center" wrapText="1"/>
      <protection hidden="1"/>
    </xf>
    <xf numFmtId="0" fontId="58" fillId="2" borderId="0" xfId="0" applyFont="1" applyFill="1" applyBorder="1" applyAlignment="1" applyProtection="1">
      <alignment wrapText="1"/>
      <protection hidden="1"/>
    </xf>
    <xf numFmtId="9" fontId="58" fillId="2" borderId="0" xfId="0" applyNumberFormat="1" applyFont="1" applyFill="1" applyBorder="1" applyProtection="1">
      <protection hidden="1"/>
    </xf>
    <xf numFmtId="0" fontId="58" fillId="4" borderId="0" xfId="0" applyFont="1" applyFill="1" applyBorder="1" applyProtection="1"/>
    <xf numFmtId="0" fontId="58" fillId="4" borderId="0" xfId="0" applyFont="1" applyFill="1" applyBorder="1"/>
    <xf numFmtId="9" fontId="58" fillId="4" borderId="0" xfId="0" applyNumberFormat="1" applyFont="1" applyFill="1" applyBorder="1" applyProtection="1"/>
    <xf numFmtId="0" fontId="58" fillId="0" borderId="0" xfId="0" applyFont="1" applyBorder="1"/>
    <xf numFmtId="0" fontId="0" fillId="22" borderId="59" xfId="0" applyFont="1" applyFill="1" applyBorder="1" applyAlignment="1" applyProtection="1">
      <alignment wrapText="1"/>
    </xf>
    <xf numFmtId="0" fontId="32" fillId="22" borderId="2" xfId="0" applyFont="1" applyFill="1" applyBorder="1" applyAlignment="1" applyProtection="1">
      <alignment wrapText="1"/>
    </xf>
    <xf numFmtId="0" fontId="0" fillId="12" borderId="0" xfId="0" applyFill="1" applyBorder="1" applyProtection="1"/>
    <xf numFmtId="0" fontId="32" fillId="0" borderId="3" xfId="0" applyFont="1" applyFill="1" applyBorder="1" applyProtection="1"/>
    <xf numFmtId="0" fontId="32" fillId="0" borderId="53" xfId="0" applyFont="1" applyFill="1" applyBorder="1" applyProtection="1"/>
    <xf numFmtId="0" fontId="32" fillId="0" borderId="58" xfId="0" applyFont="1" applyFill="1" applyBorder="1" applyProtection="1"/>
    <xf numFmtId="0" fontId="24" fillId="0" borderId="0" xfId="0" applyFont="1" applyBorder="1" applyProtection="1"/>
    <xf numFmtId="0" fontId="24" fillId="0" borderId="0" xfId="0" applyFont="1" applyFill="1" applyBorder="1" applyAlignment="1" applyProtection="1">
      <alignment horizontal="right"/>
    </xf>
    <xf numFmtId="0" fontId="24" fillId="4" borderId="0" xfId="0" applyFont="1" applyFill="1" applyAlignment="1" applyProtection="1">
      <alignment vertical="center"/>
      <protection hidden="1"/>
    </xf>
    <xf numFmtId="0" fontId="24" fillId="4" borderId="0" xfId="0" applyFont="1" applyFill="1" applyAlignment="1" applyProtection="1">
      <protection hidden="1"/>
    </xf>
    <xf numFmtId="0" fontId="0" fillId="0" borderId="0" xfId="0" applyFont="1" applyBorder="1" applyAlignment="1" applyProtection="1">
      <alignment horizontal="left" vertical="top" wrapText="1"/>
    </xf>
    <xf numFmtId="0" fontId="85" fillId="0" borderId="0" xfId="0" applyFont="1" applyBorder="1" applyAlignment="1" applyProtection="1">
      <alignment horizontal="left" vertical="top"/>
    </xf>
    <xf numFmtId="0" fontId="35" fillId="2" borderId="0" xfId="0" applyFont="1" applyFill="1" applyAlignment="1" applyProtection="1">
      <alignment horizontal="left" vertical="top" wrapText="1"/>
      <protection hidden="1"/>
    </xf>
    <xf numFmtId="0" fontId="35" fillId="2" borderId="11" xfId="0" applyFont="1" applyFill="1" applyBorder="1" applyAlignment="1" applyProtection="1">
      <alignment horizontal="left" vertical="top" wrapText="1"/>
      <protection hidden="1"/>
    </xf>
    <xf numFmtId="0" fontId="35" fillId="4" borderId="0" xfId="0" applyFont="1" applyFill="1" applyBorder="1" applyAlignment="1" applyProtection="1">
      <alignment horizontal="left" vertical="top" wrapText="1"/>
      <protection hidden="1"/>
    </xf>
    <xf numFmtId="0" fontId="1" fillId="4" borderId="4"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9" fillId="4" borderId="40" xfId="0" applyFont="1" applyFill="1" applyBorder="1" applyAlignment="1" applyProtection="1">
      <alignment horizontal="center" vertical="top" wrapText="1"/>
    </xf>
    <xf numFmtId="0" fontId="9" fillId="4" borderId="0" xfId="0" applyFont="1" applyFill="1" applyAlignment="1" applyProtection="1">
      <alignment horizontal="center" vertical="top" wrapText="1"/>
    </xf>
    <xf numFmtId="0" fontId="44" fillId="2" borderId="51" xfId="0" applyFont="1" applyFill="1" applyBorder="1" applyAlignment="1" applyProtection="1">
      <alignment horizontal="center" wrapText="1"/>
    </xf>
    <xf numFmtId="0" fontId="44" fillId="2" borderId="1" xfId="0" applyFont="1" applyFill="1" applyBorder="1" applyAlignment="1" applyProtection="1">
      <alignment horizontal="center" wrapText="1"/>
    </xf>
    <xf numFmtId="0" fontId="44" fillId="2" borderId="41" xfId="0" applyFont="1" applyFill="1" applyBorder="1" applyAlignment="1" applyProtection="1">
      <alignment horizontal="center" wrapText="1"/>
    </xf>
    <xf numFmtId="0" fontId="0" fillId="5" borderId="137" xfId="0" applyFont="1" applyFill="1" applyBorder="1" applyAlignment="1" applyProtection="1">
      <alignment horizontal="left" vertical="top" wrapText="1"/>
    </xf>
    <xf numFmtId="0" fontId="0" fillId="5" borderId="135" xfId="0" applyFont="1" applyFill="1" applyBorder="1" applyAlignment="1" applyProtection="1">
      <alignment horizontal="left" vertical="top" wrapText="1"/>
    </xf>
    <xf numFmtId="0" fontId="0" fillId="0" borderId="56" xfId="0" applyBorder="1" applyAlignment="1" applyProtection="1">
      <alignment horizontal="center"/>
    </xf>
    <xf numFmtId="0" fontId="0" fillId="0" borderId="2" xfId="0" applyBorder="1" applyAlignment="1" applyProtection="1">
      <alignment horizontal="center"/>
    </xf>
    <xf numFmtId="0" fontId="0" fillId="0" borderId="57" xfId="0" applyBorder="1" applyAlignment="1" applyProtection="1">
      <alignment horizontal="center"/>
    </xf>
    <xf numFmtId="0" fontId="23" fillId="10" borderId="2" xfId="0" applyFont="1" applyFill="1" applyBorder="1" applyAlignment="1" applyProtection="1">
      <alignment horizontal="center"/>
      <protection hidden="1"/>
    </xf>
    <xf numFmtId="0" fontId="0" fillId="0" borderId="58" xfId="0" applyFont="1" applyBorder="1" applyAlignment="1" applyProtection="1">
      <alignment horizontal="center"/>
    </xf>
    <xf numFmtId="0" fontId="0" fillId="0" borderId="59" xfId="0" applyFont="1" applyBorder="1" applyAlignment="1" applyProtection="1">
      <alignment horizontal="center"/>
    </xf>
    <xf numFmtId="0" fontId="0" fillId="0" borderId="60" xfId="0" applyFont="1" applyBorder="1" applyAlignment="1" applyProtection="1">
      <alignment horizontal="center"/>
    </xf>
    <xf numFmtId="0" fontId="37" fillId="8" borderId="10" xfId="0" applyFont="1" applyFill="1" applyBorder="1" applyAlignment="1" applyProtection="1">
      <alignment horizontal="center" wrapText="1"/>
    </xf>
    <xf numFmtId="0" fontId="37" fillId="8" borderId="3" xfId="0" applyFont="1" applyFill="1" applyBorder="1" applyAlignment="1" applyProtection="1">
      <alignment horizontal="center" wrapText="1"/>
    </xf>
    <xf numFmtId="0" fontId="0" fillId="9" borderId="21" xfId="0" applyFill="1" applyBorder="1" applyAlignment="1" applyProtection="1">
      <alignment horizontal="center" vertical="center"/>
    </xf>
    <xf numFmtId="0" fontId="0" fillId="9" borderId="22" xfId="0" applyFill="1" applyBorder="1" applyAlignment="1" applyProtection="1">
      <alignment horizontal="center" vertical="center"/>
    </xf>
    <xf numFmtId="0" fontId="0" fillId="9" borderId="23" xfId="0" applyFill="1" applyBorder="1" applyAlignment="1" applyProtection="1">
      <alignment horizontal="center" vertical="center"/>
    </xf>
    <xf numFmtId="0" fontId="0" fillId="8" borderId="72" xfId="0" applyFill="1" applyBorder="1" applyAlignment="1" applyProtection="1">
      <alignment horizontal="center"/>
    </xf>
    <xf numFmtId="0" fontId="0" fillId="8" borderId="73" xfId="0" applyFill="1" applyBorder="1" applyAlignment="1" applyProtection="1">
      <alignment horizontal="center"/>
    </xf>
    <xf numFmtId="0" fontId="0" fillId="8" borderId="74" xfId="0" applyFill="1" applyBorder="1" applyAlignment="1" applyProtection="1">
      <alignment horizontal="center"/>
    </xf>
    <xf numFmtId="0" fontId="91" fillId="10" borderId="4" xfId="0" applyFont="1" applyFill="1" applyBorder="1" applyAlignment="1" applyProtection="1">
      <alignment horizontal="center" vertical="center"/>
    </xf>
    <xf numFmtId="0" fontId="91" fillId="10" borderId="6" xfId="0" applyFont="1" applyFill="1" applyBorder="1" applyAlignment="1" applyProtection="1">
      <alignment horizontal="center" vertical="center"/>
    </xf>
    <xf numFmtId="0" fontId="91" fillId="10" borderId="7" xfId="0" applyFont="1" applyFill="1" applyBorder="1" applyAlignment="1" applyProtection="1">
      <alignment horizontal="center" vertical="center"/>
    </xf>
    <xf numFmtId="0" fontId="23" fillId="10" borderId="79" xfId="0" applyFont="1" applyFill="1" applyBorder="1" applyAlignment="1" applyProtection="1">
      <alignment horizontal="center" wrapText="1"/>
      <protection hidden="1"/>
    </xf>
    <xf numFmtId="0" fontId="23" fillId="10" borderId="54" xfId="0" applyFont="1" applyFill="1" applyBorder="1" applyAlignment="1" applyProtection="1">
      <alignment horizontal="center" wrapText="1"/>
      <protection hidden="1"/>
    </xf>
    <xf numFmtId="0" fontId="23" fillId="10" borderId="55" xfId="0" applyFont="1" applyFill="1" applyBorder="1" applyAlignment="1" applyProtection="1">
      <alignment horizontal="center" wrapText="1"/>
      <protection hidden="1"/>
    </xf>
    <xf numFmtId="0" fontId="23" fillId="10" borderId="21" xfId="0" applyFont="1" applyFill="1" applyBorder="1" applyAlignment="1" applyProtection="1">
      <alignment horizontal="center"/>
    </xf>
    <xf numFmtId="0" fontId="23" fillId="10" borderId="22" xfId="0" applyFont="1" applyFill="1" applyBorder="1" applyAlignment="1" applyProtection="1">
      <alignment horizontal="center"/>
    </xf>
    <xf numFmtId="0" fontId="23" fillId="10" borderId="53" xfId="0" applyFont="1" applyFill="1" applyBorder="1" applyAlignment="1" applyProtection="1">
      <alignment horizontal="center" wrapText="1"/>
      <protection hidden="1"/>
    </xf>
    <xf numFmtId="0" fontId="0" fillId="0" borderId="53" xfId="0" applyBorder="1" applyAlignment="1" applyProtection="1">
      <alignment horizontal="center"/>
    </xf>
    <xf numFmtId="0" fontId="0" fillId="0" borderId="54" xfId="0" applyBorder="1" applyAlignment="1" applyProtection="1">
      <alignment horizontal="center"/>
    </xf>
    <xf numFmtId="0" fontId="0" fillId="0" borderId="55" xfId="0" applyBorder="1" applyAlignment="1" applyProtection="1">
      <alignment horizontal="center"/>
    </xf>
    <xf numFmtId="0" fontId="55" fillId="0" borderId="148" xfId="0" applyFont="1" applyBorder="1" applyAlignment="1" applyProtection="1">
      <alignment horizontal="left" vertical="top"/>
      <protection locked="0"/>
    </xf>
    <xf numFmtId="0" fontId="55" fillId="0" borderId="0" xfId="0" applyFont="1" applyBorder="1" applyAlignment="1" applyProtection="1">
      <alignment horizontal="left" vertical="top"/>
      <protection locked="0"/>
    </xf>
    <xf numFmtId="0" fontId="55" fillId="0" borderId="12" xfId="0" applyFont="1" applyBorder="1" applyAlignment="1" applyProtection="1">
      <alignment horizontal="left" vertical="top"/>
      <protection locked="0"/>
    </xf>
    <xf numFmtId="0" fontId="54" fillId="0" borderId="120" xfId="0" applyFont="1" applyFill="1" applyBorder="1" applyAlignment="1" applyProtection="1">
      <alignment horizontal="left" vertical="top"/>
      <protection locked="0"/>
    </xf>
    <xf numFmtId="0" fontId="54" fillId="0" borderId="121" xfId="0" applyFont="1" applyFill="1" applyBorder="1" applyAlignment="1" applyProtection="1">
      <alignment horizontal="left" vertical="top"/>
      <protection locked="0"/>
    </xf>
    <xf numFmtId="0" fontId="54" fillId="0" borderId="122" xfId="0" applyFont="1" applyFill="1" applyBorder="1" applyAlignment="1" applyProtection="1">
      <alignment horizontal="left" vertical="top"/>
      <protection locked="0"/>
    </xf>
    <xf numFmtId="0" fontId="55" fillId="0" borderId="148"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2" xfId="0" applyFont="1" applyBorder="1" applyAlignment="1" applyProtection="1">
      <alignment horizontal="left" vertical="top" wrapText="1"/>
      <protection locked="0"/>
    </xf>
    <xf numFmtId="0" fontId="51" fillId="0" borderId="148" xfId="0" applyFont="1" applyBorder="1" applyAlignment="1">
      <alignment horizontal="left" vertical="top"/>
    </xf>
    <xf numFmtId="0" fontId="51" fillId="0" borderId="0" xfId="0" applyFont="1" applyAlignment="1">
      <alignment horizontal="left" vertical="top"/>
    </xf>
    <xf numFmtId="0" fontId="51" fillId="0" borderId="12" xfId="0" applyFont="1" applyBorder="1" applyAlignment="1">
      <alignment horizontal="left" vertical="top"/>
    </xf>
    <xf numFmtId="0" fontId="54" fillId="0" borderId="120" xfId="0" applyFont="1" applyFill="1" applyBorder="1" applyAlignment="1" applyProtection="1">
      <alignment horizontal="left" vertical="center"/>
      <protection locked="0"/>
    </xf>
    <xf numFmtId="0" fontId="54" fillId="0" borderId="121" xfId="0" applyFont="1" applyFill="1" applyBorder="1" applyAlignment="1" applyProtection="1">
      <alignment horizontal="left" vertical="center"/>
      <protection locked="0"/>
    </xf>
    <xf numFmtId="0" fontId="54" fillId="0" borderId="122" xfId="0" applyFont="1" applyFill="1" applyBorder="1" applyAlignment="1" applyProtection="1">
      <alignment horizontal="left" vertical="center"/>
      <protection locked="0"/>
    </xf>
    <xf numFmtId="0" fontId="51" fillId="19" borderId="2" xfId="0" applyFont="1" applyFill="1" applyBorder="1" applyAlignment="1">
      <alignment horizontal="left" vertical="top" wrapText="1"/>
    </xf>
    <xf numFmtId="0" fontId="51" fillId="19" borderId="2" xfId="0" applyFont="1" applyFill="1" applyBorder="1" applyAlignment="1">
      <alignment horizontal="center" vertical="top" wrapText="1"/>
    </xf>
    <xf numFmtId="0" fontId="99" fillId="19" borderId="2" xfId="0" applyFont="1" applyFill="1" applyBorder="1" applyAlignment="1">
      <alignment horizontal="center" vertical="center" wrapText="1"/>
    </xf>
    <xf numFmtId="0" fontId="54" fillId="0" borderId="144" xfId="0" applyFont="1" applyFill="1" applyBorder="1" applyAlignment="1" applyProtection="1">
      <alignment horizontal="left" vertical="top"/>
      <protection locked="0"/>
    </xf>
    <xf numFmtId="0" fontId="54" fillId="0" borderId="145" xfId="0" applyFont="1" applyFill="1" applyBorder="1" applyAlignment="1" applyProtection="1">
      <alignment horizontal="left" vertical="top"/>
      <protection locked="0"/>
    </xf>
    <xf numFmtId="0" fontId="54" fillId="0" borderId="146" xfId="0" applyFont="1" applyFill="1" applyBorder="1" applyAlignment="1" applyProtection="1">
      <alignment horizontal="left" vertical="top"/>
      <protection locked="0"/>
    </xf>
    <xf numFmtId="0" fontId="54" fillId="0" borderId="147" xfId="0" applyFont="1" applyFill="1" applyBorder="1" applyAlignment="1" applyProtection="1">
      <alignment horizontal="left" vertical="top"/>
      <protection locked="0"/>
    </xf>
    <xf numFmtId="0" fontId="54" fillId="0" borderId="0" xfId="0" applyFont="1" applyFill="1" applyBorder="1" applyAlignment="1" applyProtection="1">
      <alignment horizontal="left" vertical="top"/>
      <protection locked="0"/>
    </xf>
    <xf numFmtId="0" fontId="55" fillId="0" borderId="0" xfId="0" applyFont="1" applyBorder="1" applyAlignment="1" applyProtection="1">
      <alignment horizontal="left"/>
      <protection locked="0"/>
    </xf>
    <xf numFmtId="0" fontId="55" fillId="0" borderId="12" xfId="0" applyFont="1" applyBorder="1" applyAlignment="1" applyProtection="1">
      <alignment horizontal="left"/>
      <protection locked="0"/>
    </xf>
    <xf numFmtId="0" fontId="55" fillId="0" borderId="148" xfId="0" applyFont="1" applyBorder="1" applyAlignment="1" applyProtection="1">
      <alignment horizontal="left"/>
      <protection locked="0"/>
    </xf>
    <xf numFmtId="0" fontId="54" fillId="0" borderId="151" xfId="0" applyFont="1" applyFill="1" applyBorder="1" applyAlignment="1" applyProtection="1">
      <alignment horizontal="left" vertical="top"/>
      <protection locked="0"/>
    </xf>
    <xf numFmtId="0" fontId="0" fillId="0" borderId="0" xfId="0" applyAlignment="1">
      <alignment horizontal="center"/>
    </xf>
    <xf numFmtId="0" fontId="72" fillId="2" borderId="8" xfId="0" applyFont="1" applyFill="1" applyBorder="1" applyAlignment="1" applyProtection="1">
      <alignment horizontal="center" wrapText="1"/>
      <protection hidden="1"/>
    </xf>
    <xf numFmtId="0" fontId="72" fillId="2" borderId="12" xfId="0" applyFont="1" applyFill="1" applyBorder="1" applyAlignment="1" applyProtection="1">
      <alignment horizontal="center" wrapText="1"/>
      <protection hidden="1"/>
    </xf>
    <xf numFmtId="0" fontId="71" fillId="2" borderId="0" xfId="0" applyFont="1" applyFill="1" applyAlignment="1" applyProtection="1">
      <alignment horizontal="left" vertical="top" wrapText="1"/>
      <protection hidden="1"/>
    </xf>
    <xf numFmtId="0" fontId="70" fillId="4" borderId="2" xfId="0" applyFont="1" applyFill="1" applyBorder="1" applyAlignment="1" applyProtection="1">
      <alignment horizontal="center"/>
      <protection locked="0" hidden="1"/>
    </xf>
    <xf numFmtId="0" fontId="72" fillId="2" borderId="0" xfId="0" applyFont="1" applyFill="1" applyBorder="1" applyAlignment="1" applyProtection="1">
      <alignment horizontal="center" wrapText="1"/>
      <protection hidden="1"/>
    </xf>
    <xf numFmtId="0" fontId="69" fillId="4" borderId="13" xfId="0" applyFont="1" applyFill="1" applyBorder="1" applyAlignment="1" applyProtection="1">
      <alignment horizontal="center"/>
      <protection hidden="1"/>
    </xf>
    <xf numFmtId="0" fontId="69" fillId="4" borderId="14" xfId="0" applyFont="1" applyFill="1" applyBorder="1" applyAlignment="1" applyProtection="1">
      <alignment horizontal="center"/>
      <protection hidden="1"/>
    </xf>
    <xf numFmtId="0" fontId="58" fillId="5" borderId="100" xfId="0" applyFont="1" applyFill="1" applyBorder="1" applyAlignment="1" applyProtection="1">
      <alignment horizontal="center"/>
      <protection hidden="1"/>
    </xf>
    <xf numFmtId="0" fontId="58" fillId="5" borderId="107" xfId="0" applyFont="1" applyFill="1" applyBorder="1" applyAlignment="1" applyProtection="1">
      <alignment horizontal="center"/>
      <protection hidden="1"/>
    </xf>
    <xf numFmtId="164" fontId="58" fillId="5" borderId="101" xfId="0" applyNumberFormat="1" applyFont="1" applyFill="1" applyBorder="1" applyAlignment="1" applyProtection="1">
      <alignment horizontal="center"/>
      <protection hidden="1"/>
    </xf>
    <xf numFmtId="164" fontId="58" fillId="5" borderId="104" xfId="0" applyNumberFormat="1" applyFont="1" applyFill="1" applyBorder="1" applyAlignment="1" applyProtection="1">
      <alignment horizontal="center"/>
      <protection hidden="1"/>
    </xf>
    <xf numFmtId="0" fontId="58" fillId="5" borderId="114" xfId="0" applyFont="1" applyFill="1" applyBorder="1" applyAlignment="1" applyProtection="1">
      <alignment horizontal="center"/>
      <protection hidden="1"/>
    </xf>
    <xf numFmtId="0" fontId="58" fillId="5" borderId="105" xfId="0" applyFont="1" applyFill="1" applyBorder="1" applyAlignment="1" applyProtection="1">
      <alignment horizontal="center"/>
      <protection hidden="1"/>
    </xf>
    <xf numFmtId="0" fontId="68" fillId="4" borderId="13" xfId="0" applyFont="1" applyFill="1" applyBorder="1" applyAlignment="1" applyProtection="1">
      <alignment horizontal="center" vertical="center"/>
      <protection hidden="1"/>
    </xf>
    <xf numFmtId="0" fontId="68" fillId="4" borderId="14" xfId="0" applyFont="1" applyFill="1" applyBorder="1" applyAlignment="1" applyProtection="1">
      <alignment horizontal="center" vertical="center"/>
      <protection hidden="1"/>
    </xf>
    <xf numFmtId="0" fontId="70" fillId="5" borderId="100" xfId="0" applyFont="1" applyFill="1" applyBorder="1" applyAlignment="1" applyProtection="1">
      <alignment horizontal="center"/>
      <protection hidden="1"/>
    </xf>
    <xf numFmtId="0" fontId="70" fillId="5" borderId="107" xfId="0" applyFont="1" applyFill="1" applyBorder="1" applyAlignment="1" applyProtection="1">
      <alignment horizontal="center"/>
      <protection hidden="1"/>
    </xf>
    <xf numFmtId="164" fontId="70" fillId="5" borderId="101" xfId="0" applyNumberFormat="1" applyFont="1" applyFill="1" applyBorder="1" applyAlignment="1" applyProtection="1">
      <alignment horizontal="center"/>
      <protection hidden="1"/>
    </xf>
    <xf numFmtId="164" fontId="70" fillId="5" borderId="104" xfId="0" applyNumberFormat="1" applyFont="1" applyFill="1" applyBorder="1" applyAlignment="1" applyProtection="1">
      <alignment horizontal="center"/>
      <protection hidden="1"/>
    </xf>
    <xf numFmtId="0" fontId="70" fillId="5" borderId="114" xfId="0" applyFont="1" applyFill="1" applyBorder="1" applyAlignment="1" applyProtection="1">
      <alignment horizontal="center"/>
      <protection hidden="1"/>
    </xf>
    <xf numFmtId="0" fontId="70" fillId="5" borderId="105" xfId="0" applyFont="1" applyFill="1" applyBorder="1" applyAlignment="1" applyProtection="1">
      <alignment horizontal="center"/>
      <protection hidden="1"/>
    </xf>
    <xf numFmtId="0" fontId="32" fillId="4" borderId="2" xfId="0" applyFont="1" applyFill="1" applyBorder="1" applyAlignment="1" applyProtection="1">
      <alignment horizontal="left" vertical="center" wrapText="1"/>
      <protection hidden="1"/>
    </xf>
    <xf numFmtId="0" fontId="0" fillId="4" borderId="2" xfId="0" applyFont="1" applyFill="1" applyBorder="1" applyAlignment="1" applyProtection="1">
      <alignment horizontal="left" vertical="center"/>
      <protection hidden="1"/>
    </xf>
    <xf numFmtId="0" fontId="0" fillId="4" borderId="2" xfId="0" applyFont="1" applyFill="1" applyBorder="1" applyAlignment="1" applyProtection="1">
      <alignment horizontal="left" vertical="center" wrapText="1"/>
      <protection hidden="1"/>
    </xf>
    <xf numFmtId="0" fontId="14" fillId="2" borderId="0" xfId="0" applyFont="1" applyFill="1" applyAlignment="1" applyProtection="1">
      <alignment vertical="center" wrapText="1"/>
      <protection hidden="1"/>
    </xf>
    <xf numFmtId="0" fontId="14" fillId="0" borderId="0" xfId="0" applyFont="1" applyAlignment="1" applyProtection="1">
      <alignment vertical="center" wrapText="1"/>
      <protection hidden="1"/>
    </xf>
    <xf numFmtId="0" fontId="0" fillId="4" borderId="2" xfId="0" applyFont="1" applyFill="1" applyBorder="1" applyAlignment="1" applyProtection="1">
      <alignment wrapText="1"/>
      <protection hidden="1"/>
    </xf>
    <xf numFmtId="0" fontId="0" fillId="4" borderId="2" xfId="0" applyFont="1" applyFill="1" applyBorder="1" applyProtection="1">
      <protection hidden="1"/>
    </xf>
    <xf numFmtId="0" fontId="114"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top" wrapText="1"/>
      <protection hidden="1"/>
    </xf>
    <xf numFmtId="0" fontId="21" fillId="3" borderId="77" xfId="0" applyFont="1" applyFill="1" applyBorder="1" applyAlignment="1" applyProtection="1">
      <alignment horizontal="left" vertical="top" wrapText="1"/>
      <protection hidden="1"/>
    </xf>
    <xf numFmtId="0" fontId="21" fillId="3" borderId="106" xfId="0" applyFont="1" applyFill="1" applyBorder="1" applyAlignment="1" applyProtection="1">
      <alignment horizontal="left" vertical="top" wrapText="1"/>
      <protection hidden="1"/>
    </xf>
    <xf numFmtId="0" fontId="7" fillId="3" borderId="4" xfId="0" applyFont="1" applyFill="1" applyBorder="1" applyAlignment="1" applyProtection="1">
      <alignment horizontal="left"/>
      <protection hidden="1"/>
    </xf>
    <xf numFmtId="0" fontId="7" fillId="3" borderId="6" xfId="0" applyFont="1" applyFill="1" applyBorder="1" applyAlignment="1" applyProtection="1">
      <alignment horizontal="left"/>
      <protection hidden="1"/>
    </xf>
    <xf numFmtId="0" fontId="7" fillId="3" borderId="7" xfId="0" applyFont="1" applyFill="1" applyBorder="1" applyAlignment="1" applyProtection="1">
      <alignment horizontal="left"/>
      <protection hidden="1"/>
    </xf>
  </cellXfs>
  <cellStyles count="4">
    <cellStyle name="Good 2" xfId="3" xr:uid="{00000000-0005-0000-0000-000000000000}"/>
    <cellStyle name="Normal" xfId="0" builtinId="0"/>
    <cellStyle name="Normal 3" xfId="1" xr:uid="{00000000-0005-0000-0000-000002000000}"/>
    <cellStyle name="Percent" xfId="2" builtinId="5"/>
  </cellStyles>
  <dxfs count="4500">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border>
        <left style="thin">
          <color theme="1"/>
        </left>
        <vertical/>
        <horizontal/>
      </border>
    </dxf>
    <dxf>
      <fill>
        <patternFill>
          <bgColor rgb="FFFF0000"/>
        </patternFill>
      </fill>
    </dxf>
    <dxf>
      <fill>
        <patternFill>
          <bgColor rgb="FFFF0000"/>
        </patternFill>
      </fill>
    </dxf>
    <dxf>
      <fill>
        <patternFill>
          <bgColor rgb="FFFF0000"/>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tint="-0.14996795556505021"/>
      </font>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ill>
        <patternFill>
          <bgColor theme="0"/>
        </patternFill>
      </fill>
    </dxf>
    <dxf>
      <fill>
        <patternFill>
          <bgColor theme="0"/>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tint="-0.14996795556505021"/>
      </font>
    </dxf>
    <dxf>
      <font>
        <b/>
        <i val="0"/>
        <color rgb="FFFF0000"/>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tint="-0.14996795556505021"/>
        </patternFill>
      </fill>
    </dxf>
    <dxf>
      <font>
        <color theme="0"/>
      </font>
      <fill>
        <patternFill>
          <bgColor theme="0"/>
        </patternFill>
      </fill>
      <border>
        <left/>
        <right/>
        <top/>
        <bottom/>
        <vertical/>
        <horizontal/>
      </border>
    </dxf>
    <dxf>
      <font>
        <color theme="1"/>
      </font>
      <fill>
        <patternFill>
          <bgColor theme="0"/>
        </patternFill>
      </fill>
    </dxf>
    <dxf>
      <font>
        <color theme="1"/>
      </font>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border>
        <top style="thin">
          <color auto="1"/>
        </top>
        <vertical/>
        <horizontal/>
      </border>
    </dxf>
    <dxf>
      <border>
        <top style="thin">
          <color theme="0"/>
        </top>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1"/>
        </top>
        <bottom style="thin">
          <color theme="1"/>
        </bottom>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1"/>
        </bottom>
        <vertical/>
        <horizontal/>
      </border>
    </dxf>
  </dxfs>
  <tableStyles count="0" defaultTableStyle="TableStyleMedium9" defaultPivotStyle="PivotStyleLight16"/>
  <colors>
    <mruColors>
      <color rgb="FF56B146"/>
      <color rgb="FF3D6864"/>
      <color rgb="FFFFD146"/>
      <color rgb="FFF16161"/>
      <color rgb="FFC4BD97"/>
      <color rgb="FFB9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of Building Performance'!$AC$22</c:f>
              <c:strCache>
                <c:ptCount val="1"/>
                <c:pt idx="0">
                  <c:v>Section score available</c:v>
                </c:pt>
              </c:strCache>
            </c:strRef>
          </c:tx>
          <c:spPr>
            <a:solidFill>
              <a:srgbClr val="406864"/>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Performance'!$AC$23:$AC$32</c:f>
              <c:numCache>
                <c:formatCode>0%</c:formatCode>
                <c:ptCount val="10"/>
                <c:pt idx="0">
                  <c:v>0.13</c:v>
                </c:pt>
                <c:pt idx="1">
                  <c:v>0.16</c:v>
                </c:pt>
                <c:pt idx="2">
                  <c:v>0.14000000000000001</c:v>
                </c:pt>
                <c:pt idx="3">
                  <c:v>0.1</c:v>
                </c:pt>
                <c:pt idx="4">
                  <c:v>0.04</c:v>
                </c:pt>
                <c:pt idx="5">
                  <c:v>0.17</c:v>
                </c:pt>
                <c:pt idx="6">
                  <c:v>7.0000000000000007E-2</c:v>
                </c:pt>
                <c:pt idx="7">
                  <c:v>0.15</c:v>
                </c:pt>
                <c:pt idx="8">
                  <c:v>0.04</c:v>
                </c:pt>
                <c:pt idx="9">
                  <c:v>0.1</c:v>
                </c:pt>
              </c:numCache>
            </c:numRef>
          </c:val>
          <c:extLst>
            <c:ext xmlns:c16="http://schemas.microsoft.com/office/drawing/2014/chart" uri="{C3380CC4-5D6E-409C-BE32-E72D297353CC}">
              <c16:uniqueId val="{00000000-F474-4344-A64F-9500F3F284CF}"/>
            </c:ext>
          </c:extLst>
        </c:ser>
        <c:ser>
          <c:idx val="1"/>
          <c:order val="1"/>
          <c:tx>
            <c:strRef>
              <c:f>'Summary of Building Performance'!$AD$22</c:f>
              <c:strCache>
                <c:ptCount val="1"/>
                <c:pt idx="0">
                  <c:v>Initial target setting</c:v>
                </c:pt>
              </c:strCache>
            </c:strRef>
          </c:tx>
          <c:spPr>
            <a:solidFill>
              <a:srgbClr val="56B146"/>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Performance'!$AD$23:$AD$32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74-4344-A64F-9500F3F284CF}"/>
            </c:ext>
          </c:extLst>
        </c:ser>
        <c:ser>
          <c:idx val="2"/>
          <c:order val="2"/>
          <c:tx>
            <c:strRef>
              <c:f>'Summary of Building Performance'!$AE$22</c:f>
              <c:strCache>
                <c:ptCount val="1"/>
                <c:pt idx="0">
                  <c:v>Design phase</c:v>
                </c:pt>
              </c:strCache>
            </c:strRef>
          </c:tx>
          <c:spPr>
            <a:solidFill>
              <a:schemeClr val="accent1">
                <a:lumMod val="40000"/>
                <a:lumOff val="60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Performance'!$AE$23:$AE$32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74-4344-A64F-9500F3F284CF}"/>
            </c:ext>
          </c:extLst>
        </c:ser>
        <c:ser>
          <c:idx val="3"/>
          <c:order val="3"/>
          <c:tx>
            <c:strRef>
              <c:f>'Summary of Building Performance'!$AF$22</c:f>
              <c:strCache>
                <c:ptCount val="1"/>
                <c:pt idx="0">
                  <c:v>Construction phase</c:v>
                </c:pt>
              </c:strCache>
            </c:strRef>
          </c:tx>
          <c:spPr>
            <a:solidFill>
              <a:schemeClr val="bg2">
                <a:lumMod val="75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Performance'!$AF$23:$AF$32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74-4344-A64F-9500F3F284CF}"/>
            </c:ext>
          </c:extLst>
        </c:ser>
        <c:dLbls>
          <c:showLegendKey val="0"/>
          <c:showVal val="0"/>
          <c:showCatName val="0"/>
          <c:showSerName val="0"/>
          <c:showPercent val="0"/>
          <c:showBubbleSize val="0"/>
        </c:dLbls>
        <c:gapWidth val="75"/>
        <c:overlap val="-25"/>
        <c:axId val="621716544"/>
        <c:axId val="621717720"/>
      </c:barChart>
      <c:catAx>
        <c:axId val="6217165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7720"/>
        <c:crosses val="autoZero"/>
        <c:auto val="1"/>
        <c:lblAlgn val="ctr"/>
        <c:lblOffset val="100"/>
        <c:noMultiLvlLbl val="0"/>
      </c:catAx>
      <c:valAx>
        <c:axId val="621717720"/>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nb-NO"/>
          </a:p>
        </c:txPr>
        <c:crossAx val="621716544"/>
        <c:crosses val="autoZero"/>
        <c:crossBetween val="between"/>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6029043955481"/>
          <c:y val="4.2195507462141082E-2"/>
          <c:w val="0.85957557632275794"/>
          <c:h val="0.722508509326657"/>
        </c:manualLayout>
      </c:layout>
      <c:barChart>
        <c:barDir val="col"/>
        <c:grouping val="clustered"/>
        <c:varyColors val="0"/>
        <c:ser>
          <c:idx val="0"/>
          <c:order val="0"/>
          <c:tx>
            <c:strRef>
              <c:f>'Summary of Building Performance'!$AC$36</c:f>
              <c:strCache>
                <c:ptCount val="1"/>
                <c:pt idx="0">
                  <c:v>Initial target setting</c:v>
                </c:pt>
              </c:strCache>
            </c:strRef>
          </c:tx>
          <c:spPr>
            <a:solidFill>
              <a:srgbClr val="56B146"/>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Performance'!$AC$37:$AC$58</c:f>
              <c:numCache>
                <c:formatCode>General</c:formatCode>
                <c:ptCount val="22"/>
                <c:pt idx="0">
                  <c:v>3</c:v>
                </c:pt>
                <c:pt idx="1">
                  <c:v>0</c:v>
                </c:pt>
                <c:pt idx="2">
                  <c:v>0</c:v>
                </c:pt>
                <c:pt idx="3">
                  <c:v>3</c:v>
                </c:pt>
                <c:pt idx="4">
                  <c:v>0</c:v>
                </c:pt>
                <c:pt idx="5">
                  <c:v>3</c:v>
                </c:pt>
                <c:pt idx="6">
                  <c:v>3</c:v>
                </c:pt>
                <c:pt idx="7">
                  <c:v>0</c:v>
                </c:pt>
                <c:pt idx="8">
                  <c:v>3</c:v>
                </c:pt>
                <c:pt idx="9">
                  <c:v>3</c:v>
                </c:pt>
                <c:pt idx="10">
                  <c:v>0</c:v>
                </c:pt>
                <c:pt idx="11">
                  <c:v>0</c:v>
                </c:pt>
                <c:pt idx="12">
                  <c:v>0</c:v>
                </c:pt>
                <c:pt idx="13">
                  <c:v>3</c:v>
                </c:pt>
                <c:pt idx="14">
                  <c:v>0</c:v>
                </c:pt>
                <c:pt idx="15">
                  <c:v>3</c:v>
                </c:pt>
                <c:pt idx="16">
                  <c:v>0</c:v>
                </c:pt>
                <c:pt idx="17">
                  <c:v>3</c:v>
                </c:pt>
                <c:pt idx="18">
                  <c:v>3</c:v>
                </c:pt>
                <c:pt idx="19">
                  <c:v>2</c:v>
                </c:pt>
                <c:pt idx="20">
                  <c:v>4</c:v>
                </c:pt>
                <c:pt idx="21">
                  <c:v>3</c:v>
                </c:pt>
              </c:numCache>
            </c:numRef>
          </c:val>
          <c:extLst>
            <c:ext xmlns:c16="http://schemas.microsoft.com/office/drawing/2014/chart" uri="{C3380CC4-5D6E-409C-BE32-E72D297353CC}">
              <c16:uniqueId val="{00000000-F474-4344-A64F-9500F3F284CF}"/>
            </c:ext>
          </c:extLst>
        </c:ser>
        <c:ser>
          <c:idx val="1"/>
          <c:order val="1"/>
          <c:tx>
            <c:strRef>
              <c:f>'Summary of Building Performance'!$AD$36</c:f>
              <c:strCache>
                <c:ptCount val="1"/>
                <c:pt idx="0">
                  <c:v>Design phase</c:v>
                </c:pt>
              </c:strCache>
            </c:strRef>
          </c:tx>
          <c:spPr>
            <a:solidFill>
              <a:srgbClr val="B9CDE5"/>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Performance'!$AD$37:$AD$58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F474-4344-A64F-9500F3F284CF}"/>
            </c:ext>
          </c:extLst>
        </c:ser>
        <c:ser>
          <c:idx val="2"/>
          <c:order val="2"/>
          <c:tx>
            <c:strRef>
              <c:f>'Summary of Building Performance'!$AE$36</c:f>
              <c:strCache>
                <c:ptCount val="1"/>
                <c:pt idx="0">
                  <c:v>Construction phase</c:v>
                </c:pt>
              </c:strCache>
            </c:strRef>
          </c:tx>
          <c:spPr>
            <a:solidFill>
              <a:srgbClr val="C4BD97"/>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Performance'!$AE$37:$AE$58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2-F474-4344-A64F-9500F3F284CF}"/>
            </c:ext>
          </c:extLst>
        </c:ser>
        <c:dLbls>
          <c:showLegendKey val="0"/>
          <c:showVal val="0"/>
          <c:showCatName val="0"/>
          <c:showSerName val="0"/>
          <c:showPercent val="0"/>
          <c:showBubbleSize val="0"/>
        </c:dLbls>
        <c:gapWidth val="75"/>
        <c:overlap val="-25"/>
        <c:axId val="621713800"/>
        <c:axId val="621718504"/>
      </c:barChart>
      <c:catAx>
        <c:axId val="62171380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nb-NO"/>
          </a:p>
        </c:txPr>
        <c:crossAx val="621718504"/>
        <c:crosses val="autoZero"/>
        <c:auto val="1"/>
        <c:lblAlgn val="ctr"/>
        <c:lblOffset val="100"/>
        <c:noMultiLvlLbl val="0"/>
      </c:catAx>
      <c:valAx>
        <c:axId val="621718504"/>
        <c:scaling>
          <c:orientation val="minMax"/>
          <c:max val="5"/>
        </c:scaling>
        <c:delete val="1"/>
        <c:axPos val="l"/>
        <c:majorGridlines/>
        <c:numFmt formatCode="0%" sourceLinked="0"/>
        <c:majorTickMark val="none"/>
        <c:minorTickMark val="none"/>
        <c:tickLblPos val="nextTo"/>
        <c:crossAx val="621713800"/>
        <c:crosses val="autoZero"/>
        <c:crossBetween val="between"/>
        <c:majorUnit val="1"/>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nb-NO"/>
          </a:p>
        </c:txPr>
      </c:legendEntry>
      <c:layout>
        <c:manualLayout>
          <c:xMode val="edge"/>
          <c:yMode val="edge"/>
          <c:x val="0.10425054779133901"/>
          <c:y val="0.88460329124958204"/>
          <c:w val="0.78340991326686749"/>
          <c:h val="9.2380977407431883E-2"/>
        </c:manualLayout>
      </c:layout>
      <c:overlay val="0"/>
      <c:txPr>
        <a:bodyPr/>
        <a:lstStyle/>
        <a:p>
          <a:pPr>
            <a:defRPr sz="1000" b="0" i="0" u="none" strike="noStrike" baseline="0">
              <a:solidFill>
                <a:srgbClr val="000000"/>
              </a:solidFill>
              <a:latin typeface="Calibri"/>
              <a:ea typeface="Calibri"/>
              <a:cs typeface="Calibri"/>
            </a:defRPr>
          </a:pPr>
          <a:endParaRPr lang="nb-NO"/>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nb-NO"/>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10.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47944</xdr:colOff>
      <xdr:row>9</xdr:row>
      <xdr:rowOff>9524</xdr:rowOff>
    </xdr:from>
    <xdr:to>
      <xdr:col>3</xdr:col>
      <xdr:colOff>970683</xdr:colOff>
      <xdr:row>18</xdr:row>
      <xdr:rowOff>95249</xdr:rowOff>
    </xdr:to>
    <xdr:pic>
      <xdr:nvPicPr>
        <xdr:cNvPr id="8" name="Picture 7">
          <a:extLst>
            <a:ext uri="{FF2B5EF4-FFF2-40B4-BE49-F238E27FC236}">
              <a16:creationId xmlns:a16="http://schemas.microsoft.com/office/drawing/2014/main" id="{514DB9FE-E69C-44D8-90E6-192BCA61C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544" y="4724399"/>
          <a:ext cx="2199089" cy="1724025"/>
        </a:xfrm>
        <a:prstGeom prst="rect">
          <a:avLst/>
        </a:prstGeom>
      </xdr:spPr>
    </xdr:pic>
    <xdr:clientData/>
  </xdr:twoCellAnchor>
  <xdr:twoCellAnchor editAs="oneCell">
    <xdr:from>
      <xdr:col>11</xdr:col>
      <xdr:colOff>352425</xdr:colOff>
      <xdr:row>0</xdr:row>
      <xdr:rowOff>142875</xdr:rowOff>
    </xdr:from>
    <xdr:to>
      <xdr:col>16</xdr:col>
      <xdr:colOff>51435</xdr:colOff>
      <xdr:row>4</xdr:row>
      <xdr:rowOff>32138</xdr:rowOff>
    </xdr:to>
    <xdr:pic>
      <xdr:nvPicPr>
        <xdr:cNvPr id="9" name="Bilde 7">
          <a:extLst>
            <a:ext uri="{FF2B5EF4-FFF2-40B4-BE49-F238E27FC236}">
              <a16:creationId xmlns:a16="http://schemas.microsoft.com/office/drawing/2014/main" id="{2E416739-5696-4333-80A2-9773A284A9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8975" y="142875"/>
          <a:ext cx="2823210" cy="670313"/>
        </a:xfrm>
        <a:prstGeom prst="rect">
          <a:avLst/>
        </a:prstGeom>
      </xdr:spPr>
    </xdr:pic>
    <xdr:clientData/>
  </xdr:twoCellAnchor>
  <xdr:twoCellAnchor editAs="oneCell">
    <xdr:from>
      <xdr:col>5</xdr:col>
      <xdr:colOff>219074</xdr:colOff>
      <xdr:row>14</xdr:row>
      <xdr:rowOff>96843</xdr:rowOff>
    </xdr:from>
    <xdr:to>
      <xdr:col>8</xdr:col>
      <xdr:colOff>542925</xdr:colOff>
      <xdr:row>19</xdr:row>
      <xdr:rowOff>59076</xdr:rowOff>
    </xdr:to>
    <xdr:pic>
      <xdr:nvPicPr>
        <xdr:cNvPr id="3" name="Picture 2">
          <a:extLst>
            <a:ext uri="{FF2B5EF4-FFF2-40B4-BE49-F238E27FC236}">
              <a16:creationId xmlns:a16="http://schemas.microsoft.com/office/drawing/2014/main" id="{AA1CBD4F-DC3B-4EE6-AD68-16DE5317B1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2324" y="6307143"/>
          <a:ext cx="2095501" cy="914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60512</xdr:colOff>
      <xdr:row>39</xdr:row>
      <xdr:rowOff>729252</xdr:rowOff>
    </xdr:from>
    <xdr:to>
      <xdr:col>2</xdr:col>
      <xdr:colOff>2432872</xdr:colOff>
      <xdr:row>41</xdr:row>
      <xdr:rowOff>31036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1130" y="9828428"/>
          <a:ext cx="2366645" cy="526812"/>
        </a:xfrm>
        <a:prstGeom prst="rect">
          <a:avLst/>
        </a:prstGeom>
      </xdr:spPr>
    </xdr:pic>
    <xdr:clientData/>
  </xdr:twoCellAnchor>
  <xdr:twoCellAnchor>
    <xdr:from>
      <xdr:col>2</xdr:col>
      <xdr:colOff>3390900</xdr:colOff>
      <xdr:row>52</xdr:row>
      <xdr:rowOff>180975</xdr:rowOff>
    </xdr:from>
    <xdr:to>
      <xdr:col>4</xdr:col>
      <xdr:colOff>19050</xdr:colOff>
      <xdr:row>54</xdr:row>
      <xdr:rowOff>57150</xdr:rowOff>
    </xdr:to>
    <xdr:sp macro="" textlink="">
      <xdr:nvSpPr>
        <xdr:cNvPr id="6" name="TextBox 5">
          <a:extLst>
            <a:ext uri="{FF2B5EF4-FFF2-40B4-BE49-F238E27FC236}">
              <a16:creationId xmlns:a16="http://schemas.microsoft.com/office/drawing/2014/main" id="{A26ADC79-7EC8-47E4-B5D3-1CCBDADB2BE3}"/>
            </a:ext>
          </a:extLst>
        </xdr:cNvPr>
        <xdr:cNvSpPr txBox="1"/>
      </xdr:nvSpPr>
      <xdr:spPr>
        <a:xfrm>
          <a:off x="6096000" y="13611225"/>
          <a:ext cx="990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b-NO" sz="1100">
              <a:solidFill>
                <a:sysClr val="windowText" lastClr="000000"/>
              </a:solidFill>
            </a:rPr>
            <a:t>Tool date:</a:t>
          </a:r>
        </a:p>
      </xdr:txBody>
    </xdr:sp>
    <xdr:clientData/>
  </xdr:twoCellAnchor>
  <xdr:twoCellAnchor editAs="oneCell">
    <xdr:from>
      <xdr:col>5</xdr:col>
      <xdr:colOff>981075</xdr:colOff>
      <xdr:row>0</xdr:row>
      <xdr:rowOff>123825</xdr:rowOff>
    </xdr:from>
    <xdr:to>
      <xdr:col>44</xdr:col>
      <xdr:colOff>33655</xdr:colOff>
      <xdr:row>2</xdr:row>
      <xdr:rowOff>71508</xdr:rowOff>
    </xdr:to>
    <xdr:pic>
      <xdr:nvPicPr>
        <xdr:cNvPr id="5" name="Bilde 6">
          <a:extLst>
            <a:ext uri="{FF2B5EF4-FFF2-40B4-BE49-F238E27FC236}">
              <a16:creationId xmlns:a16="http://schemas.microsoft.com/office/drawing/2014/main" id="{D6381F30-8EEF-46F6-8E0F-07F579C38F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59000" y="123825"/>
          <a:ext cx="2815590" cy="67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661588</xdr:colOff>
      <xdr:row>0</xdr:row>
      <xdr:rowOff>38100</xdr:rowOff>
    </xdr:from>
    <xdr:to>
      <xdr:col>25</xdr:col>
      <xdr:colOff>1871452</xdr:colOff>
      <xdr:row>2</xdr:row>
      <xdr:rowOff>1247</xdr:rowOff>
    </xdr:to>
    <xdr:pic>
      <xdr:nvPicPr>
        <xdr:cNvPr id="3" name="Bilde 2">
          <a:extLst>
            <a:ext uri="{FF2B5EF4-FFF2-40B4-BE49-F238E27FC236}">
              <a16:creationId xmlns:a16="http://schemas.microsoft.com/office/drawing/2014/main" id="{D95C09B3-24AB-4E08-9EEA-97C0984520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799"/>
        <a:stretch/>
      </xdr:blipFill>
      <xdr:spPr>
        <a:xfrm>
          <a:off x="18243617" y="38100"/>
          <a:ext cx="2883351" cy="5794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63</xdr:col>
      <xdr:colOff>69476</xdr:colOff>
      <xdr:row>269</xdr:row>
      <xdr:rowOff>80902</xdr:rowOff>
    </xdr:from>
    <xdr:to>
      <xdr:col>71</xdr:col>
      <xdr:colOff>119004</xdr:colOff>
      <xdr:row>274</xdr:row>
      <xdr:rowOff>223967</xdr:rowOff>
    </xdr:to>
    <xdr:pic>
      <xdr:nvPicPr>
        <xdr:cNvPr id="2" name="Picture 1">
          <a:extLst>
            <a:ext uri="{FF2B5EF4-FFF2-40B4-BE49-F238E27FC236}">
              <a16:creationId xmlns:a16="http://schemas.microsoft.com/office/drawing/2014/main" id="{855A0ECF-4CAF-4CEB-806C-D2BD151BA4A2}"/>
            </a:ext>
          </a:extLst>
        </xdr:cNvPr>
        <xdr:cNvPicPr>
          <a:picLocks noChangeAspect="1"/>
        </xdr:cNvPicPr>
      </xdr:nvPicPr>
      <xdr:blipFill>
        <a:blip xmlns:r="http://schemas.openxmlformats.org/officeDocument/2006/relationships" r:embed="rId1"/>
        <a:stretch>
          <a:fillRect/>
        </a:stretch>
      </xdr:blipFill>
      <xdr:spPr>
        <a:xfrm>
          <a:off x="42371682" y="58127373"/>
          <a:ext cx="5654374" cy="1091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8967</xdr:colOff>
      <xdr:row>14</xdr:row>
      <xdr:rowOff>96932</xdr:rowOff>
    </xdr:from>
    <xdr:to>
      <xdr:col>7</xdr:col>
      <xdr:colOff>259773</xdr:colOff>
      <xdr:row>31</xdr:row>
      <xdr:rowOff>141755</xdr:rowOff>
    </xdr:to>
    <xdr:graphicFrame macro="">
      <xdr:nvGraphicFramePr>
        <xdr:cNvPr id="6" name="Chart 4">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372342</xdr:colOff>
      <xdr:row>14</xdr:row>
      <xdr:rowOff>87404</xdr:rowOff>
    </xdr:from>
    <xdr:to>
      <xdr:col>14</xdr:col>
      <xdr:colOff>857250</xdr:colOff>
      <xdr:row>31</xdr:row>
      <xdr:rowOff>159683</xdr:rowOff>
    </xdr:to>
    <xdr:graphicFrame macro="">
      <xdr:nvGraphicFramePr>
        <xdr:cNvPr id="8" name="Chart 4">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412173</xdr:colOff>
      <xdr:row>27</xdr:row>
      <xdr:rowOff>9525</xdr:rowOff>
    </xdr:from>
    <xdr:to>
      <xdr:col>8</xdr:col>
      <xdr:colOff>688398</xdr:colOff>
      <xdr:row>28</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685559" y="6010275"/>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Unclassified</a:t>
          </a:r>
        </a:p>
      </xdr:txBody>
    </xdr:sp>
    <xdr:clientData/>
  </xdr:twoCellAnchor>
  <xdr:twoCellAnchor>
    <xdr:from>
      <xdr:col>8</xdr:col>
      <xdr:colOff>40698</xdr:colOff>
      <xdr:row>24</xdr:row>
      <xdr:rowOff>76199</xdr:rowOff>
    </xdr:from>
    <xdr:to>
      <xdr:col>8</xdr:col>
      <xdr:colOff>516948</xdr:colOff>
      <xdr:row>25</xdr:row>
      <xdr:rowOff>142874</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050107" y="5505449"/>
          <a:ext cx="476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Pass</a:t>
          </a:r>
        </a:p>
      </xdr:txBody>
    </xdr:sp>
    <xdr:clientData/>
  </xdr:twoCellAnchor>
  <xdr:twoCellAnchor>
    <xdr:from>
      <xdr:col>8</xdr:col>
      <xdr:colOff>12123</xdr:colOff>
      <xdr:row>21</xdr:row>
      <xdr:rowOff>190499</xdr:rowOff>
    </xdr:from>
    <xdr:to>
      <xdr:col>8</xdr:col>
      <xdr:colOff>497898</xdr:colOff>
      <xdr:row>23</xdr:row>
      <xdr:rowOff>66674</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021532" y="5048249"/>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Good</a:t>
          </a:r>
        </a:p>
      </xdr:txBody>
    </xdr:sp>
    <xdr:clientData/>
  </xdr:twoCellAnchor>
  <xdr:twoCellAnchor>
    <xdr:from>
      <xdr:col>7</xdr:col>
      <xdr:colOff>497898</xdr:colOff>
      <xdr:row>19</xdr:row>
      <xdr:rowOff>85725</xdr:rowOff>
    </xdr:from>
    <xdr:to>
      <xdr:col>8</xdr:col>
      <xdr:colOff>535998</xdr:colOff>
      <xdr:row>20</xdr:row>
      <xdr:rowOff>180975</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5771284" y="4562475"/>
          <a:ext cx="77412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Very Good</a:t>
          </a:r>
        </a:p>
      </xdr:txBody>
    </xdr:sp>
    <xdr:clientData/>
  </xdr:twoCellAnchor>
  <xdr:twoCellAnchor>
    <xdr:from>
      <xdr:col>7</xdr:col>
      <xdr:colOff>574098</xdr:colOff>
      <xdr:row>17</xdr:row>
      <xdr:rowOff>9525</xdr:rowOff>
    </xdr:from>
    <xdr:to>
      <xdr:col>8</xdr:col>
      <xdr:colOff>516948</xdr:colOff>
      <xdr:row>18</xdr:row>
      <xdr:rowOff>66675</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847484" y="4105275"/>
          <a:ext cx="67887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Excellent</a:t>
          </a:r>
        </a:p>
      </xdr:txBody>
    </xdr:sp>
    <xdr:clientData/>
  </xdr:twoCellAnchor>
  <xdr:twoCellAnchor>
    <xdr:from>
      <xdr:col>7</xdr:col>
      <xdr:colOff>421698</xdr:colOff>
      <xdr:row>14</xdr:row>
      <xdr:rowOff>95250</xdr:rowOff>
    </xdr:from>
    <xdr:to>
      <xdr:col>8</xdr:col>
      <xdr:colOff>697923</xdr:colOff>
      <xdr:row>15</xdr:row>
      <xdr:rowOff>133350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5695084" y="3619500"/>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Outstanding</a:t>
          </a:r>
        </a:p>
      </xdr:txBody>
    </xdr:sp>
    <xdr:clientData/>
  </xdr:twoCellAnchor>
  <xdr:twoCellAnchor editAs="oneCell">
    <xdr:from>
      <xdr:col>12</xdr:col>
      <xdr:colOff>206082</xdr:colOff>
      <xdr:row>0</xdr:row>
      <xdr:rowOff>107373</xdr:rowOff>
    </xdr:from>
    <xdr:to>
      <xdr:col>14</xdr:col>
      <xdr:colOff>850549</xdr:colOff>
      <xdr:row>2</xdr:row>
      <xdr:rowOff>60136</xdr:rowOff>
    </xdr:to>
    <xdr:pic>
      <xdr:nvPicPr>
        <xdr:cNvPr id="14" name="Bilde 14">
          <a:extLst>
            <a:ext uri="{FF2B5EF4-FFF2-40B4-BE49-F238E27FC236}">
              <a16:creationId xmlns:a16="http://schemas.microsoft.com/office/drawing/2014/main" id="{1C2864DC-DD23-4B28-9CDE-E141AEDE13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22423" y="107373"/>
          <a:ext cx="2826558" cy="6801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367395</xdr:colOff>
      <xdr:row>0</xdr:row>
      <xdr:rowOff>19050</xdr:rowOff>
    </xdr:from>
    <xdr:to>
      <xdr:col>24</xdr:col>
      <xdr:colOff>1891393</xdr:colOff>
      <xdr:row>0</xdr:row>
      <xdr:rowOff>602822</xdr:rowOff>
    </xdr:to>
    <xdr:pic>
      <xdr:nvPicPr>
        <xdr:cNvPr id="3" name="Bilde 3">
          <a:extLst>
            <a:ext uri="{FF2B5EF4-FFF2-40B4-BE49-F238E27FC236}">
              <a16:creationId xmlns:a16="http://schemas.microsoft.com/office/drawing/2014/main" id="{5E8C092E-9A9A-47F0-A1C5-F1236DAD70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98"/>
        <a:stretch/>
      </xdr:blipFill>
      <xdr:spPr>
        <a:xfrm>
          <a:off x="18873109" y="19050"/>
          <a:ext cx="2816677" cy="5837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247650</xdr:colOff>
      <xdr:row>0</xdr:row>
      <xdr:rowOff>142875</xdr:rowOff>
    </xdr:from>
    <xdr:to>
      <xdr:col>16</xdr:col>
      <xdr:colOff>41910</xdr:colOff>
      <xdr:row>2</xdr:row>
      <xdr:rowOff>79763</xdr:rowOff>
    </xdr:to>
    <xdr:pic>
      <xdr:nvPicPr>
        <xdr:cNvPr id="4" name="Bilde 2">
          <a:extLst>
            <a:ext uri="{FF2B5EF4-FFF2-40B4-BE49-F238E27FC236}">
              <a16:creationId xmlns:a16="http://schemas.microsoft.com/office/drawing/2014/main" id="{BAD9EE81-3374-42DE-8AFE-1DDEF62D0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42875"/>
          <a:ext cx="2846070" cy="662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
  <sheetViews>
    <sheetView showGridLines="0" zoomScaleNormal="100" workbookViewId="0">
      <selection activeCell="Z5" sqref="Z5"/>
    </sheetView>
  </sheetViews>
  <sheetFormatPr defaultColWidth="8.85546875" defaultRowHeight="15" x14ac:dyDescent="0.25"/>
  <cols>
    <col min="1" max="1" width="3.42578125" style="629" customWidth="1"/>
    <col min="2" max="2" width="10.28515625" style="629" customWidth="1"/>
    <col min="3" max="3" width="8.85546875" style="629"/>
    <col min="4" max="4" width="15.7109375" style="629" bestFit="1" customWidth="1"/>
    <col min="5" max="11" width="8.85546875" style="629"/>
    <col min="12" max="12" width="11.42578125" style="629" customWidth="1"/>
    <col min="13" max="17" width="8.85546875" style="629"/>
    <col min="18" max="18" width="7.42578125" style="629" customWidth="1"/>
    <col min="19" max="16384" width="8.85546875" style="629"/>
  </cols>
  <sheetData>
    <row r="1" spans="1:21" x14ac:dyDescent="0.25">
      <c r="A1" s="628"/>
      <c r="B1" s="628"/>
      <c r="C1" s="628"/>
      <c r="D1" s="628"/>
      <c r="E1" s="628"/>
      <c r="F1" s="628"/>
      <c r="G1" s="628"/>
      <c r="H1" s="628"/>
      <c r="I1" s="628"/>
      <c r="J1" s="628"/>
      <c r="K1" s="628"/>
      <c r="L1" s="628"/>
      <c r="M1" s="628"/>
      <c r="N1" s="628"/>
      <c r="O1" s="628"/>
      <c r="P1" s="628"/>
    </row>
    <row r="2" spans="1:21" ht="21" x14ac:dyDescent="0.25">
      <c r="A2" s="628"/>
      <c r="B2" s="736" t="s">
        <v>969</v>
      </c>
      <c r="C2" s="631"/>
      <c r="D2" s="631"/>
      <c r="E2" s="631"/>
      <c r="F2" s="631"/>
      <c r="G2" s="631"/>
      <c r="H2" s="631"/>
      <c r="I2" s="631"/>
      <c r="J2" s="631"/>
      <c r="K2" s="631"/>
      <c r="L2" s="632"/>
      <c r="M2" s="632"/>
      <c r="N2" s="632"/>
      <c r="O2" s="632"/>
      <c r="P2" s="643" t="str">
        <f>IF('Manuell filtrering og justering'!I2='Manuell filtrering og justering'!J2,"Bespoke","")</f>
        <v/>
      </c>
    </row>
    <row r="3" spans="1:21" ht="21" x14ac:dyDescent="0.25">
      <c r="A3" s="628"/>
      <c r="B3" s="630" t="s">
        <v>5</v>
      </c>
      <c r="C3" s="633" t="str">
        <f>TVC_current_version</f>
        <v>1.2</v>
      </c>
      <c r="D3" s="634">
        <f>TVC_current_date</f>
        <v>44673</v>
      </c>
      <c r="E3" s="631"/>
      <c r="F3" s="631"/>
      <c r="G3" s="631"/>
      <c r="H3" s="631"/>
      <c r="I3" s="631"/>
      <c r="J3" s="631"/>
      <c r="K3" s="631"/>
      <c r="L3" s="632"/>
      <c r="M3" s="632"/>
      <c r="N3" s="632"/>
      <c r="O3" s="632"/>
      <c r="P3" s="632"/>
      <c r="Q3" s="635"/>
      <c r="R3" s="635"/>
    </row>
    <row r="4" spans="1:21" ht="4.5" customHeight="1" x14ac:dyDescent="0.25">
      <c r="A4" s="636"/>
      <c r="B4" s="637"/>
      <c r="C4" s="636"/>
      <c r="D4" s="636"/>
      <c r="E4" s="636"/>
      <c r="F4" s="636"/>
      <c r="G4" s="636"/>
      <c r="H4" s="636"/>
      <c r="I4" s="636"/>
      <c r="J4" s="636"/>
      <c r="K4" s="636"/>
      <c r="L4" s="636"/>
      <c r="M4" s="636"/>
      <c r="N4" s="636"/>
      <c r="O4" s="636"/>
      <c r="P4" s="636"/>
      <c r="Q4" s="635"/>
      <c r="R4" s="635"/>
      <c r="S4" s="635"/>
      <c r="T4" s="635"/>
      <c r="U4" s="635"/>
    </row>
    <row r="5" spans="1:21" ht="126.75" customHeight="1" x14ac:dyDescent="0.25">
      <c r="A5" s="636"/>
      <c r="B5" s="1264" t="s">
        <v>1035</v>
      </c>
      <c r="C5" s="1265"/>
      <c r="D5" s="1265"/>
      <c r="E5" s="1265"/>
      <c r="F5" s="1265"/>
      <c r="G5" s="1265"/>
      <c r="H5" s="1265"/>
      <c r="I5" s="1265"/>
      <c r="J5" s="1265"/>
      <c r="K5" s="1265"/>
      <c r="L5" s="1265"/>
      <c r="M5" s="1265"/>
      <c r="N5" s="1265"/>
      <c r="O5" s="1265"/>
      <c r="P5" s="1265"/>
      <c r="Q5" s="635"/>
      <c r="R5" s="635"/>
      <c r="S5" s="635"/>
      <c r="T5" s="635"/>
      <c r="U5" s="635"/>
    </row>
    <row r="6" spans="1:21" ht="85.5" customHeight="1" x14ac:dyDescent="0.25">
      <c r="A6" s="636"/>
      <c r="B6" s="1264" t="s">
        <v>970</v>
      </c>
      <c r="C6" s="1265"/>
      <c r="D6" s="1265"/>
      <c r="E6" s="1265"/>
      <c r="F6" s="1265"/>
      <c r="G6" s="1265"/>
      <c r="H6" s="1265"/>
      <c r="I6" s="1265"/>
      <c r="J6" s="1265"/>
      <c r="K6" s="1265"/>
      <c r="L6" s="1265"/>
      <c r="M6" s="1265"/>
      <c r="N6" s="1265"/>
      <c r="O6" s="1265"/>
      <c r="P6" s="1265"/>
      <c r="Q6" s="635"/>
      <c r="R6" s="635"/>
      <c r="S6" s="635"/>
      <c r="T6" s="635"/>
      <c r="U6" s="635"/>
    </row>
    <row r="7" spans="1:21" ht="80.25" customHeight="1" x14ac:dyDescent="0.25">
      <c r="A7" s="636"/>
      <c r="B7" s="1264" t="s">
        <v>1036</v>
      </c>
      <c r="C7" s="1265"/>
      <c r="D7" s="1265"/>
      <c r="E7" s="1265"/>
      <c r="F7" s="1265"/>
      <c r="G7" s="1265"/>
      <c r="H7" s="1265"/>
      <c r="I7" s="1265"/>
      <c r="J7" s="1265"/>
      <c r="K7" s="1265"/>
      <c r="L7" s="1265"/>
      <c r="M7" s="1265"/>
      <c r="N7" s="1265"/>
      <c r="O7" s="1265"/>
      <c r="P7" s="1265"/>
      <c r="Q7" s="635"/>
      <c r="R7" s="635"/>
      <c r="S7" s="635"/>
      <c r="T7" s="635"/>
      <c r="U7" s="635"/>
    </row>
    <row r="8" spans="1:21" ht="2.25" customHeight="1" x14ac:dyDescent="0.25">
      <c r="A8" s="636"/>
      <c r="B8" s="636"/>
      <c r="C8" s="636"/>
      <c r="D8" s="636"/>
      <c r="E8" s="636"/>
      <c r="F8" s="636"/>
      <c r="G8" s="636"/>
      <c r="H8" s="636"/>
      <c r="I8" s="636"/>
      <c r="J8" s="636"/>
      <c r="K8" s="636"/>
      <c r="L8" s="636"/>
      <c r="M8" s="636"/>
      <c r="N8" s="636"/>
      <c r="O8" s="636"/>
      <c r="P8" s="637"/>
      <c r="Q8" s="635"/>
      <c r="R8" s="635"/>
      <c r="S8" s="635"/>
      <c r="T8" s="635"/>
      <c r="U8" s="635"/>
    </row>
    <row r="9" spans="1:21" x14ac:dyDescent="0.25">
      <c r="A9" s="636"/>
      <c r="B9" s="639" t="s">
        <v>1037</v>
      </c>
      <c r="C9" s="636"/>
      <c r="D9" s="636"/>
      <c r="E9" s="636"/>
      <c r="F9" s="636"/>
      <c r="G9" s="636"/>
      <c r="H9" s="636"/>
      <c r="I9" s="636"/>
      <c r="J9" s="636"/>
      <c r="K9" s="636"/>
      <c r="L9" s="636"/>
      <c r="M9" s="636"/>
      <c r="N9" s="636"/>
      <c r="O9" s="636"/>
      <c r="P9" s="636"/>
      <c r="Q9" s="635"/>
      <c r="R9" s="635"/>
      <c r="S9" s="635"/>
      <c r="T9" s="635"/>
      <c r="U9" s="635"/>
    </row>
    <row r="10" spans="1:21" ht="9" customHeight="1" x14ac:dyDescent="0.25">
      <c r="A10" s="636"/>
      <c r="B10" s="636"/>
      <c r="C10" s="636"/>
      <c r="D10" s="636"/>
      <c r="E10" s="636"/>
      <c r="F10" s="636"/>
      <c r="G10" s="636"/>
      <c r="H10" s="636"/>
      <c r="I10" s="636"/>
      <c r="J10" s="636"/>
      <c r="K10" s="636"/>
      <c r="L10" s="636"/>
      <c r="M10" s="636"/>
      <c r="N10" s="636"/>
      <c r="O10" s="636"/>
      <c r="P10" s="636"/>
      <c r="Q10" s="635"/>
      <c r="R10" s="635"/>
      <c r="S10" s="635"/>
      <c r="T10" s="635"/>
      <c r="U10" s="635"/>
    </row>
    <row r="11" spans="1:21" x14ac:dyDescent="0.25">
      <c r="A11" s="636"/>
      <c r="B11" s="636"/>
      <c r="C11" s="636"/>
      <c r="D11" s="636"/>
      <c r="E11" s="636"/>
      <c r="F11" s="636"/>
      <c r="G11" s="636"/>
      <c r="H11" s="636"/>
      <c r="I11" s="636"/>
      <c r="J11" s="636"/>
      <c r="K11" s="636"/>
      <c r="L11" s="636"/>
      <c r="M11" s="636"/>
      <c r="N11" s="636"/>
      <c r="O11" s="636"/>
      <c r="P11" s="636"/>
      <c r="Q11" s="635"/>
      <c r="R11" s="635"/>
      <c r="S11" s="635"/>
      <c r="T11" s="635"/>
      <c r="U11" s="635"/>
    </row>
    <row r="12" spans="1:21" x14ac:dyDescent="0.25">
      <c r="A12" s="636"/>
      <c r="B12" s="636"/>
      <c r="C12" s="636"/>
      <c r="D12" s="636"/>
      <c r="E12" s="636"/>
      <c r="F12" s="636"/>
      <c r="G12" s="636"/>
      <c r="H12" s="636"/>
      <c r="I12" s="636"/>
      <c r="J12" s="636"/>
      <c r="K12" s="636"/>
      <c r="L12" s="636"/>
      <c r="M12" s="636"/>
      <c r="N12" s="636"/>
      <c r="O12" s="636"/>
      <c r="P12" s="636"/>
      <c r="Q12" s="635"/>
      <c r="R12" s="635"/>
      <c r="S12" s="635"/>
      <c r="T12" s="635"/>
      <c r="U12" s="635"/>
    </row>
    <row r="13" spans="1:21" x14ac:dyDescent="0.25">
      <c r="A13" s="636"/>
      <c r="B13" s="636"/>
      <c r="C13" s="636"/>
      <c r="D13" s="636"/>
      <c r="E13" s="636"/>
      <c r="F13" s="636"/>
      <c r="G13" s="636"/>
      <c r="H13" s="636"/>
      <c r="I13" s="636"/>
      <c r="J13" s="636"/>
      <c r="K13" s="636"/>
      <c r="L13" s="636"/>
      <c r="M13" s="636"/>
      <c r="N13" s="636"/>
      <c r="O13" s="636"/>
      <c r="P13" s="636"/>
      <c r="Q13" s="635"/>
      <c r="R13" s="635"/>
      <c r="S13" s="635"/>
      <c r="T13" s="635"/>
      <c r="U13" s="635"/>
    </row>
    <row r="14" spans="1:21" x14ac:dyDescent="0.25">
      <c r="A14" s="636"/>
      <c r="B14" s="636"/>
      <c r="C14" s="636"/>
      <c r="D14" s="636"/>
      <c r="E14" s="636"/>
      <c r="F14" s="636"/>
      <c r="G14" s="636"/>
      <c r="H14" s="636"/>
      <c r="I14" s="636"/>
      <c r="J14" s="636"/>
      <c r="K14" s="636"/>
      <c r="L14" s="636"/>
      <c r="M14" s="636"/>
      <c r="N14" s="636"/>
      <c r="O14" s="636"/>
      <c r="P14" s="636"/>
      <c r="Q14" s="635"/>
      <c r="R14" s="635"/>
      <c r="S14" s="635"/>
      <c r="T14" s="635"/>
      <c r="U14" s="635"/>
    </row>
    <row r="15" spans="1:21" x14ac:dyDescent="0.25">
      <c r="A15" s="636"/>
      <c r="B15" s="636"/>
      <c r="C15" s="636"/>
      <c r="D15" s="636"/>
      <c r="E15" s="636"/>
      <c r="F15" s="636"/>
      <c r="G15" s="636"/>
      <c r="H15" s="636"/>
      <c r="I15" s="636"/>
      <c r="J15" s="636"/>
      <c r="K15" s="636"/>
      <c r="L15" s="636"/>
      <c r="M15" s="636"/>
      <c r="N15" s="636"/>
      <c r="O15" s="636"/>
      <c r="P15" s="636"/>
      <c r="Q15" s="635"/>
      <c r="R15" s="635"/>
      <c r="S15" s="635"/>
      <c r="T15" s="635"/>
      <c r="U15" s="635"/>
    </row>
    <row r="16" spans="1:21" x14ac:dyDescent="0.25">
      <c r="A16" s="636"/>
      <c r="B16" s="636"/>
      <c r="C16" s="636"/>
      <c r="D16" s="636"/>
      <c r="E16" s="636"/>
      <c r="F16" s="636"/>
      <c r="G16" s="636"/>
      <c r="H16" s="636"/>
      <c r="I16" s="636"/>
      <c r="J16" s="636"/>
      <c r="K16" s="636"/>
      <c r="L16" s="636"/>
      <c r="M16" s="636"/>
      <c r="N16" s="636"/>
      <c r="O16" s="636"/>
      <c r="P16" s="636"/>
      <c r="Q16" s="635"/>
      <c r="R16" s="635"/>
      <c r="S16" s="635"/>
      <c r="T16" s="635"/>
      <c r="U16" s="635"/>
    </row>
    <row r="17" spans="1:21" x14ac:dyDescent="0.25">
      <c r="A17" s="636"/>
      <c r="B17" s="636"/>
      <c r="C17" s="636"/>
      <c r="D17" s="636"/>
      <c r="E17" s="636"/>
      <c r="F17" s="636"/>
      <c r="G17" s="636"/>
      <c r="H17" s="636"/>
      <c r="I17" s="638"/>
      <c r="J17" s="636"/>
      <c r="K17" s="636"/>
      <c r="L17" s="636"/>
      <c r="M17" s="636"/>
      <c r="N17" s="636"/>
      <c r="O17" s="636"/>
      <c r="P17" s="636"/>
      <c r="Q17" s="635"/>
      <c r="R17" s="635"/>
      <c r="S17" s="635"/>
      <c r="T17" s="635"/>
      <c r="U17" s="635"/>
    </row>
    <row r="18" spans="1:21" x14ac:dyDescent="0.25">
      <c r="A18" s="635"/>
      <c r="B18" s="635"/>
      <c r="C18" s="635"/>
      <c r="D18" s="635"/>
      <c r="E18" s="635"/>
      <c r="F18" s="635"/>
      <c r="G18" s="635"/>
      <c r="H18" s="635"/>
      <c r="I18" s="635"/>
      <c r="J18" s="635"/>
      <c r="K18" s="635"/>
      <c r="L18" s="635"/>
      <c r="M18" s="635"/>
      <c r="N18" s="635"/>
      <c r="O18" s="635"/>
      <c r="P18" s="635"/>
      <c r="Q18" s="635"/>
      <c r="R18" s="635"/>
      <c r="S18" s="635"/>
      <c r="T18" s="635"/>
      <c r="U18" s="635"/>
    </row>
  </sheetData>
  <sheetProtection algorithmName="SHA-512" hashValue="/JVbtRhYDF8YgNjpL7L2GuNHBAtafvonwT2HjSRWWSeTKXySYZiwgiAkwOJT4oWWu9CtQGMTeXpEkWHFKTtZHg==" saltValue="ozC9LegFm6PdmEXACPbPOQ==" spinCount="100000" sheet="1" objects="1" scenarios="1"/>
  <mergeCells count="3">
    <mergeCell ref="B5:P5"/>
    <mergeCell ref="B6:P6"/>
    <mergeCell ref="B7:P7"/>
  </mergeCells>
  <pageMargins left="0.7" right="0.7" top="0.75" bottom="0.75" header="0.3" footer="0.3"/>
  <pageSetup paperSize="9" scale="91"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R186"/>
  <sheetViews>
    <sheetView showGridLines="0" tabSelected="1" zoomScale="85" zoomScaleNormal="85" zoomScalePageLayoutView="90" workbookViewId="0">
      <pane ySplit="3" topLeftCell="A4" activePane="bottomLeft" state="frozen"/>
      <selection activeCell="H9" sqref="H9:I9"/>
      <selection pane="bottomLeft" activeCell="F6" sqref="F6"/>
    </sheetView>
  </sheetViews>
  <sheetFormatPr defaultColWidth="9.140625" defaultRowHeight="15" x14ac:dyDescent="0.25"/>
  <cols>
    <col min="1" max="1" width="2.7109375" style="519" customWidth="1"/>
    <col min="2" max="2" width="37.85546875" style="519" customWidth="1"/>
    <col min="3" max="3" width="59.85546875" style="519" customWidth="1"/>
    <col min="4" max="4" width="5.5703125" style="519" customWidth="1"/>
    <col min="5" max="5" width="102.140625" style="519" customWidth="1"/>
    <col min="6" max="6" width="56.5703125" style="519" customWidth="1"/>
    <col min="7" max="8" width="7.28515625" style="519" hidden="1" customWidth="1"/>
    <col min="9" max="9" width="12.140625" style="519" hidden="1" customWidth="1"/>
    <col min="10" max="12" width="17" style="519" hidden="1" customWidth="1"/>
    <col min="13" max="13" width="30.85546875" style="519" hidden="1" customWidth="1"/>
    <col min="14" max="14" width="16.5703125" style="519" hidden="1" customWidth="1"/>
    <col min="15" max="15" width="34.5703125" style="519" hidden="1" customWidth="1"/>
    <col min="16" max="16" width="6.140625" style="519" hidden="1" customWidth="1"/>
    <col min="17" max="17" width="74.7109375" style="519" hidden="1" customWidth="1"/>
    <col min="18" max="18" width="30.28515625" style="519" hidden="1" customWidth="1"/>
    <col min="19" max="19" width="41.140625" style="519" hidden="1" customWidth="1"/>
    <col min="20" max="20" width="32" style="519" hidden="1" customWidth="1"/>
    <col min="21" max="30" width="31.140625" style="519" hidden="1" customWidth="1"/>
    <col min="31" max="31" width="11.42578125" style="519" hidden="1" customWidth="1"/>
    <col min="32" max="44" width="9.140625" style="519" hidden="1" customWidth="1"/>
    <col min="45" max="120" width="9.140625" style="519" customWidth="1"/>
    <col min="121" max="16384" width="9.140625" style="519"/>
  </cols>
  <sheetData>
    <row r="1" spans="2:32" s="1" customFormat="1" x14ac:dyDescent="0.25">
      <c r="B1" s="418"/>
      <c r="C1" s="418"/>
      <c r="E1" s="2"/>
      <c r="G1" s="519"/>
      <c r="H1" s="519"/>
      <c r="I1" s="519"/>
      <c r="O1" s="17"/>
      <c r="P1" s="17"/>
      <c r="Q1" s="17"/>
      <c r="R1" s="17"/>
      <c r="S1" s="17"/>
      <c r="T1" s="17"/>
      <c r="U1" s="17"/>
      <c r="V1" s="17"/>
      <c r="W1" s="17"/>
      <c r="X1" s="17"/>
      <c r="Y1" s="17"/>
      <c r="Z1" s="17"/>
      <c r="AA1" s="17"/>
      <c r="AB1" s="17"/>
      <c r="AC1" s="17"/>
      <c r="AD1" s="17"/>
    </row>
    <row r="2" spans="2:32" s="1" customFormat="1" ht="42" customHeight="1" x14ac:dyDescent="0.25">
      <c r="B2" s="520" t="s">
        <v>971</v>
      </c>
      <c r="C2" s="521"/>
      <c r="D2" s="521"/>
      <c r="E2" s="521"/>
      <c r="F2" s="644" t="str">
        <f>IF('Manuell filtrering og justering'!I2='Manuell filtrering og justering'!J2,"Bespoke","")</f>
        <v/>
      </c>
      <c r="G2" s="519"/>
      <c r="H2" s="519"/>
      <c r="I2" s="519"/>
      <c r="O2" s="17"/>
      <c r="P2" s="17"/>
      <c r="Q2" s="17"/>
      <c r="R2" s="17"/>
      <c r="S2" s="17"/>
      <c r="T2" s="17"/>
      <c r="U2" s="17"/>
      <c r="V2" s="17"/>
      <c r="W2" s="17"/>
      <c r="X2" s="17"/>
      <c r="Y2" s="17"/>
      <c r="Z2" s="17"/>
      <c r="AA2" s="17"/>
      <c r="AB2" s="17"/>
      <c r="AC2" s="17"/>
      <c r="AD2" s="17"/>
    </row>
    <row r="3" spans="2:32" s="1" customFormat="1" x14ac:dyDescent="0.25">
      <c r="B3" s="522"/>
      <c r="C3" s="522"/>
      <c r="E3" s="2"/>
      <c r="F3" s="523"/>
      <c r="G3" s="519"/>
      <c r="H3" s="519"/>
      <c r="I3" s="519"/>
      <c r="O3" s="17"/>
      <c r="P3" s="17"/>
      <c r="Q3" s="17"/>
      <c r="R3" s="93"/>
      <c r="S3" s="93"/>
      <c r="T3" s="93"/>
      <c r="U3" s="93"/>
      <c r="V3" s="93"/>
      <c r="W3" s="93"/>
      <c r="X3" s="93"/>
      <c r="Y3" s="93"/>
      <c r="Z3" s="93"/>
      <c r="AA3" s="93"/>
      <c r="AB3" s="93"/>
      <c r="AC3" s="93"/>
      <c r="AD3" s="93"/>
      <c r="AE3" s="93"/>
    </row>
    <row r="4" spans="2:32" s="1" customFormat="1" ht="18.75" x14ac:dyDescent="0.3">
      <c r="B4" s="524" t="s">
        <v>49</v>
      </c>
      <c r="C4" s="7"/>
      <c r="E4" s="524" t="s">
        <v>21</v>
      </c>
      <c r="F4" s="524"/>
      <c r="G4" s="519"/>
      <c r="H4" s="519"/>
      <c r="I4" s="519"/>
      <c r="L4" s="12"/>
      <c r="M4" s="12"/>
      <c r="N4" s="12"/>
      <c r="O4" s="17"/>
      <c r="P4" s="17"/>
      <c r="Q4" s="17"/>
      <c r="R4" s="17"/>
      <c r="S4" s="17"/>
      <c r="T4" s="17"/>
      <c r="U4" s="17"/>
      <c r="V4" s="17"/>
      <c r="W4" s="17"/>
      <c r="X4" s="17"/>
      <c r="Y4" s="17"/>
      <c r="Z4" s="17"/>
      <c r="AA4" s="17"/>
      <c r="AB4" s="17"/>
      <c r="AC4" s="17"/>
      <c r="AD4" s="17"/>
    </row>
    <row r="5" spans="2:32" s="1" customFormat="1" ht="15.75" x14ac:dyDescent="0.25">
      <c r="B5" s="525" t="s">
        <v>17</v>
      </c>
      <c r="C5" s="616"/>
      <c r="D5" s="519"/>
      <c r="E5" s="527" t="s">
        <v>54</v>
      </c>
      <c r="F5" s="526" t="s">
        <v>31</v>
      </c>
      <c r="G5" s="519"/>
      <c r="H5" s="519"/>
      <c r="I5" s="519"/>
      <c r="J5" s="519"/>
      <c r="K5" s="519"/>
      <c r="L5" s="91" t="str">
        <f>IF('Manuell filtrering og justering'!I2='Manuell filtrering og justering'!J2,'Manuell filtrering og justering'!H2,M6)</f>
        <v>Industrial</v>
      </c>
      <c r="M5" s="367" t="s">
        <v>31</v>
      </c>
      <c r="N5" s="12"/>
      <c r="O5" s="91" t="str">
        <f t="shared" ref="O5:O13" si="0">IF(HLOOKUP(ADBT0,$R$5:$AE$14,AF6,FALSE)=0,"",HLOOKUP(ADBT0,$R$5:$AE$14,AF6,FALSE))</f>
        <v>General office buildings</v>
      </c>
      <c r="P5" s="17"/>
      <c r="Q5" s="91" t="s">
        <v>44</v>
      </c>
      <c r="R5" s="89" t="s">
        <v>32</v>
      </c>
      <c r="S5" s="89" t="s">
        <v>31</v>
      </c>
      <c r="T5" s="89" t="s">
        <v>33</v>
      </c>
      <c r="U5" s="89" t="s">
        <v>34</v>
      </c>
      <c r="V5" s="89" t="s">
        <v>10</v>
      </c>
      <c r="W5" s="89" t="s">
        <v>485</v>
      </c>
      <c r="X5" s="89" t="s">
        <v>486</v>
      </c>
      <c r="Y5" s="89" t="s">
        <v>487</v>
      </c>
      <c r="Z5" s="89" t="s">
        <v>488</v>
      </c>
      <c r="AA5" s="89" t="s">
        <v>489</v>
      </c>
      <c r="AB5" s="89" t="s">
        <v>490</v>
      </c>
      <c r="AC5" s="89" t="s">
        <v>491</v>
      </c>
      <c r="AD5" s="1213" t="s">
        <v>1019</v>
      </c>
      <c r="AE5" s="89" t="s">
        <v>337</v>
      </c>
      <c r="AF5" s="1">
        <v>1</v>
      </c>
    </row>
    <row r="6" spans="2:32" s="1" customFormat="1" ht="15.75" x14ac:dyDescent="0.25">
      <c r="B6" s="528" t="s">
        <v>18</v>
      </c>
      <c r="C6" s="616"/>
      <c r="D6" s="519"/>
      <c r="E6" s="529" t="s">
        <v>24</v>
      </c>
      <c r="F6" s="530" t="s">
        <v>492</v>
      </c>
      <c r="G6" s="519"/>
      <c r="H6" s="519"/>
      <c r="I6" s="519"/>
      <c r="J6" s="519"/>
      <c r="K6" s="519"/>
      <c r="L6" s="91" t="str">
        <f>IF('Manuell filtrering og justering'!I2='Manuell filtrering og justering'!J2,"",M5)</f>
        <v>Office</v>
      </c>
      <c r="M6" s="367" t="s">
        <v>32</v>
      </c>
      <c r="N6" s="12"/>
      <c r="O6" s="91" t="str">
        <f t="shared" si="0"/>
        <v>Offices with research and development areas (i.e. category 1 labs only)</v>
      </c>
      <c r="P6" s="17"/>
      <c r="Q6" s="17"/>
      <c r="R6" s="17" t="s">
        <v>494</v>
      </c>
      <c r="S6" s="17" t="s">
        <v>492</v>
      </c>
      <c r="T6" s="17" t="s">
        <v>496</v>
      </c>
      <c r="U6" s="1" t="s">
        <v>500</v>
      </c>
      <c r="V6" s="1" t="s">
        <v>327</v>
      </c>
      <c r="W6" s="1" t="s">
        <v>504</v>
      </c>
      <c r="X6" s="1" t="s">
        <v>509</v>
      </c>
      <c r="Y6" s="1" t="s">
        <v>514</v>
      </c>
      <c r="Z6" s="1" t="s">
        <v>522</v>
      </c>
      <c r="AA6" s="1" t="s">
        <v>528</v>
      </c>
      <c r="AB6" s="1" t="s">
        <v>531</v>
      </c>
      <c r="AC6" s="1" t="s">
        <v>535</v>
      </c>
      <c r="AD6" s="1" t="s">
        <v>1020</v>
      </c>
      <c r="AE6" s="17" t="s">
        <v>337</v>
      </c>
      <c r="AF6" s="1">
        <v>2</v>
      </c>
    </row>
    <row r="7" spans="2:32" s="1" customFormat="1" ht="15.75" x14ac:dyDescent="0.25">
      <c r="B7" s="528" t="s">
        <v>19</v>
      </c>
      <c r="C7" s="616"/>
      <c r="D7" s="519"/>
      <c r="E7" s="532" t="s">
        <v>25</v>
      </c>
      <c r="F7" s="530" t="s">
        <v>37</v>
      </c>
      <c r="G7" s="519"/>
      <c r="H7" s="519"/>
      <c r="I7" s="519"/>
      <c r="J7" s="519"/>
      <c r="K7" s="519"/>
      <c r="L7" s="91" t="str">
        <f>IF('Manuell filtrering og justering'!I2='Manuell filtrering og justering'!J2,"",M7)</f>
        <v>Retail</v>
      </c>
      <c r="M7" s="367" t="s">
        <v>33</v>
      </c>
      <c r="N7" s="12"/>
      <c r="O7" s="91" t="str">
        <f t="shared" si="0"/>
        <v/>
      </c>
      <c r="P7" s="17"/>
      <c r="Q7" s="17"/>
      <c r="R7" s="17" t="s">
        <v>495</v>
      </c>
      <c r="S7" s="1" t="s">
        <v>493</v>
      </c>
      <c r="T7" s="17" t="s">
        <v>497</v>
      </c>
      <c r="U7" s="1" t="s">
        <v>501</v>
      </c>
      <c r="V7" s="1" t="s">
        <v>328</v>
      </c>
      <c r="W7" s="1" t="s">
        <v>505</v>
      </c>
      <c r="X7" s="1" t="s">
        <v>510</v>
      </c>
      <c r="Y7" s="1" t="s">
        <v>515</v>
      </c>
      <c r="Z7" s="1" t="s">
        <v>523</v>
      </c>
      <c r="AA7" s="1" t="s">
        <v>529</v>
      </c>
      <c r="AB7" s="1" t="s">
        <v>532</v>
      </c>
      <c r="AC7" s="1" t="s">
        <v>536</v>
      </c>
      <c r="AD7" s="1" t="s">
        <v>1021</v>
      </c>
      <c r="AF7" s="1">
        <v>3</v>
      </c>
    </row>
    <row r="8" spans="2:32" s="1" customFormat="1" ht="15.75" x14ac:dyDescent="0.25">
      <c r="B8" s="528" t="s">
        <v>20</v>
      </c>
      <c r="C8" s="616"/>
      <c r="D8" s="519"/>
      <c r="G8" s="519"/>
      <c r="H8" s="519"/>
      <c r="I8" s="519"/>
      <c r="J8" s="519"/>
      <c r="K8" s="519"/>
      <c r="L8" s="91" t="str">
        <f>IF('Manuell filtrering og justering'!I2='Manuell filtrering og justering'!J2,"",M8)</f>
        <v>Education</v>
      </c>
      <c r="M8" s="367" t="s">
        <v>34</v>
      </c>
      <c r="N8" s="12"/>
      <c r="O8" s="91" t="str">
        <f t="shared" si="0"/>
        <v/>
      </c>
      <c r="P8" s="17"/>
      <c r="Q8" s="24" t="s">
        <v>541</v>
      </c>
      <c r="T8" s="17" t="s">
        <v>498</v>
      </c>
      <c r="U8" s="1" t="s">
        <v>502</v>
      </c>
      <c r="V8" s="1" t="s">
        <v>326</v>
      </c>
      <c r="W8" s="1" t="s">
        <v>506</v>
      </c>
      <c r="X8" s="1" t="s">
        <v>511</v>
      </c>
      <c r="Y8" s="1" t="s">
        <v>516</v>
      </c>
      <c r="Z8" s="1" t="s">
        <v>524</v>
      </c>
      <c r="AA8" s="1" t="s">
        <v>530</v>
      </c>
      <c r="AB8" s="1" t="s">
        <v>533</v>
      </c>
      <c r="AC8" s="1" t="s">
        <v>537</v>
      </c>
      <c r="AD8" s="1" t="s">
        <v>1022</v>
      </c>
      <c r="AE8" s="17"/>
      <c r="AF8" s="1">
        <v>4</v>
      </c>
    </row>
    <row r="9" spans="2:32" s="1" customFormat="1" ht="15.75" x14ac:dyDescent="0.25">
      <c r="B9" s="528" t="s">
        <v>43</v>
      </c>
      <c r="C9" s="616"/>
      <c r="D9" s="519"/>
      <c r="G9" s="519"/>
      <c r="H9" s="519"/>
      <c r="I9" s="519"/>
      <c r="J9" s="519"/>
      <c r="K9" s="519"/>
      <c r="L9" s="91" t="str">
        <f>IF('Manuell filtrering og justering'!I2='Manuell filtrering og justering'!J2,"",M16)</f>
        <v>Residential</v>
      </c>
      <c r="M9" s="367" t="s">
        <v>485</v>
      </c>
      <c r="N9" s="12"/>
      <c r="O9" s="91" t="str">
        <f t="shared" si="0"/>
        <v/>
      </c>
      <c r="P9" s="17"/>
      <c r="Q9" s="17"/>
      <c r="T9" s="1" t="s">
        <v>325</v>
      </c>
      <c r="U9" s="1" t="s">
        <v>539</v>
      </c>
      <c r="W9" s="1" t="s">
        <v>507</v>
      </c>
      <c r="X9" s="1" t="s">
        <v>512</v>
      </c>
      <c r="Y9" s="1" t="s">
        <v>517</v>
      </c>
      <c r="Z9" s="1" t="s">
        <v>525</v>
      </c>
      <c r="AB9" s="1" t="s">
        <v>534</v>
      </c>
      <c r="AC9" s="1" t="s">
        <v>538</v>
      </c>
      <c r="AD9" s="1" t="s">
        <v>1023</v>
      </c>
      <c r="AF9" s="1">
        <v>5</v>
      </c>
    </row>
    <row r="10" spans="2:32" s="1" customFormat="1" ht="15.75" x14ac:dyDescent="0.25">
      <c r="B10" s="532" t="s">
        <v>199</v>
      </c>
      <c r="C10" s="616"/>
      <c r="D10" s="519"/>
      <c r="G10" s="519"/>
      <c r="H10" s="519"/>
      <c r="I10" s="519"/>
      <c r="J10" s="519"/>
      <c r="K10" s="519"/>
      <c r="L10" s="91" t="str">
        <f>IF('Manuell filtrering og justering'!$I$2='Manuell filtrering og justering'!$J$2,"",M9)</f>
        <v>Healthcare</v>
      </c>
      <c r="M10" s="367" t="s">
        <v>486</v>
      </c>
      <c r="N10" s="12"/>
      <c r="O10" s="91" t="str">
        <f t="shared" si="0"/>
        <v/>
      </c>
      <c r="P10" s="17"/>
      <c r="Q10" s="17"/>
      <c r="T10" s="1" t="s">
        <v>499</v>
      </c>
      <c r="U10" s="1" t="s">
        <v>503</v>
      </c>
      <c r="W10" s="1" t="s">
        <v>508</v>
      </c>
      <c r="X10" s="1" t="s">
        <v>513</v>
      </c>
      <c r="Y10" s="1" t="s">
        <v>518</v>
      </c>
      <c r="Z10" s="1" t="s">
        <v>526</v>
      </c>
      <c r="AD10" s="1" t="s">
        <v>1024</v>
      </c>
      <c r="AF10" s="1">
        <v>6</v>
      </c>
    </row>
    <row r="11" spans="2:32" s="1" customFormat="1" ht="15.75" x14ac:dyDescent="0.25">
      <c r="C11" s="97"/>
      <c r="F11" s="261"/>
      <c r="G11" s="519"/>
      <c r="H11" s="519"/>
      <c r="I11" s="519"/>
      <c r="J11" s="519"/>
      <c r="K11" s="519"/>
      <c r="L11" s="91" t="str">
        <f>IF('Manuell filtrering og justering'!$I$2='Manuell filtrering og justering'!$J$2,"",M10)</f>
        <v>Prison</v>
      </c>
      <c r="M11" s="367" t="s">
        <v>487</v>
      </c>
      <c r="N11" s="12"/>
      <c r="O11" s="91" t="str">
        <f t="shared" si="0"/>
        <v/>
      </c>
      <c r="P11" s="17"/>
      <c r="Q11" s="91" t="s">
        <v>37</v>
      </c>
      <c r="T11" s="17" t="s">
        <v>329</v>
      </c>
      <c r="Y11" s="1" t="s">
        <v>519</v>
      </c>
      <c r="Z11" s="1" t="s">
        <v>527</v>
      </c>
      <c r="AF11" s="1">
        <v>7</v>
      </c>
    </row>
    <row r="12" spans="2:32" s="1" customFormat="1" ht="15" customHeight="1" x14ac:dyDescent="0.3">
      <c r="B12" s="524" t="s">
        <v>21</v>
      </c>
      <c r="C12" s="617"/>
      <c r="E12" s="534" t="s">
        <v>306</v>
      </c>
      <c r="F12" s="618"/>
      <c r="G12" s="519"/>
      <c r="H12" s="519"/>
      <c r="I12" s="519"/>
      <c r="J12" s="519"/>
      <c r="K12" s="519"/>
      <c r="L12" s="91" t="str">
        <f>IF('Manuell filtrering og justering'!$I$2='Manuell filtrering og justering'!$J$2,"",M11)</f>
        <v>Law Court</v>
      </c>
      <c r="M12" s="367" t="s">
        <v>488</v>
      </c>
      <c r="N12" s="12"/>
      <c r="O12" s="91" t="str">
        <f t="shared" si="0"/>
        <v/>
      </c>
      <c r="P12" s="17"/>
      <c r="Q12" s="91" t="str">
        <f>IF(ADBT0=ADBT12,"","New Construction (shell and core)")</f>
        <v>New Construction (shell and core)</v>
      </c>
      <c r="T12" s="17"/>
      <c r="U12" s="17"/>
      <c r="V12" s="17"/>
      <c r="W12" s="17"/>
      <c r="X12" s="17"/>
      <c r="Y12" s="17" t="s">
        <v>520</v>
      </c>
      <c r="Z12" s="17"/>
      <c r="AA12" s="17"/>
      <c r="AB12" s="17"/>
      <c r="AC12" s="17"/>
      <c r="AD12" s="17"/>
      <c r="AF12" s="1">
        <v>8</v>
      </c>
    </row>
    <row r="13" spans="2:32" s="1" customFormat="1" ht="17.25" x14ac:dyDescent="0.25">
      <c r="B13" s="525" t="s">
        <v>22</v>
      </c>
      <c r="C13" s="618"/>
      <c r="E13" s="528" t="s">
        <v>305</v>
      </c>
      <c r="F13" s="618"/>
      <c r="G13" s="519"/>
      <c r="H13" s="519"/>
      <c r="I13" s="1215" t="s">
        <v>1026</v>
      </c>
      <c r="J13" s="519"/>
      <c r="K13" s="519"/>
      <c r="L13" s="91" t="str">
        <f>IF('Manuell filtrering og justering'!$I$2='Manuell filtrering og justering'!$J$2,"",M12)</f>
        <v>Residential institution (long term stay)</v>
      </c>
      <c r="M13" s="367" t="s">
        <v>489</v>
      </c>
      <c r="N13" s="12"/>
      <c r="O13" s="91" t="str">
        <f t="shared" si="0"/>
        <v/>
      </c>
      <c r="P13" s="17"/>
      <c r="Q13" s="91" t="str">
        <f>IF(ADBT0=ADBT12,"","New Construction (shell only)")</f>
        <v>New Construction (shell only)</v>
      </c>
      <c r="T13" s="17"/>
      <c r="U13" s="17"/>
      <c r="V13" s="17"/>
      <c r="W13" s="17"/>
      <c r="X13" s="17"/>
      <c r="Y13" s="17" t="s">
        <v>521</v>
      </c>
      <c r="Z13" s="17"/>
      <c r="AA13" s="17"/>
      <c r="AB13" s="17"/>
      <c r="AC13" s="17"/>
      <c r="AD13" s="17"/>
      <c r="AF13" s="1">
        <v>9</v>
      </c>
    </row>
    <row r="14" spans="2:32" s="1" customFormat="1" ht="17.25" x14ac:dyDescent="0.25">
      <c r="B14" s="535" t="s">
        <v>23</v>
      </c>
      <c r="C14" s="619"/>
      <c r="E14" s="532" t="s">
        <v>307</v>
      </c>
      <c r="F14" s="618"/>
      <c r="G14" s="519"/>
      <c r="H14" s="519"/>
      <c r="I14" s="1215"/>
      <c r="J14" s="519"/>
      <c r="K14" s="519"/>
      <c r="L14" s="91" t="str">
        <f>IF('Manuell filtrering og justering'!$I$2='Manuell filtrering og justering'!$J$2,"",M13)</f>
        <v>Residential institution (short term stay)</v>
      </c>
      <c r="M14" s="367" t="s">
        <v>490</v>
      </c>
      <c r="N14" s="12"/>
      <c r="O14" s="519"/>
      <c r="P14" s="17"/>
      <c r="Q14" s="91" t="s">
        <v>38</v>
      </c>
      <c r="T14" s="17"/>
      <c r="U14" s="17"/>
      <c r="V14" s="17"/>
      <c r="W14" s="17"/>
      <c r="X14" s="17"/>
      <c r="Y14" s="17"/>
      <c r="Z14" s="17"/>
      <c r="AA14" s="17"/>
      <c r="AB14" s="17"/>
      <c r="AC14" s="17"/>
      <c r="AD14" s="17"/>
      <c r="AF14" s="1">
        <v>10</v>
      </c>
    </row>
    <row r="15" spans="2:32" s="1" customFormat="1" ht="16.5" customHeight="1" x14ac:dyDescent="0.25">
      <c r="B15" s="536"/>
      <c r="C15" s="620"/>
      <c r="E15" s="1040"/>
      <c r="F15" s="538"/>
      <c r="G15" s="519"/>
      <c r="H15" s="519"/>
      <c r="I15" s="1215"/>
      <c r="J15" s="2"/>
      <c r="K15" s="519"/>
      <c r="L15" s="91" t="str">
        <f>IF('Manuell filtrering og justering'!$I$2='Manuell filtrering og justering'!$J$2,"",M14)</f>
        <v>Non-residential institution</v>
      </c>
      <c r="M15" s="367" t="s">
        <v>491</v>
      </c>
      <c r="N15" s="12"/>
      <c r="O15" s="519"/>
      <c r="P15" s="17"/>
      <c r="Q15" s="91" t="s">
        <v>36</v>
      </c>
      <c r="U15" s="17"/>
      <c r="V15" s="17"/>
      <c r="W15" s="17"/>
      <c r="X15" s="17"/>
      <c r="Y15" s="17"/>
      <c r="Z15" s="17"/>
      <c r="AA15" s="17"/>
      <c r="AB15" s="17"/>
      <c r="AC15" s="17"/>
      <c r="AD15" s="17"/>
      <c r="AF15" s="1">
        <v>11</v>
      </c>
    </row>
    <row r="16" spans="2:32" s="1" customFormat="1" ht="15.75" x14ac:dyDescent="0.25">
      <c r="B16" s="539"/>
      <c r="C16" s="621"/>
      <c r="E16" s="527" t="s">
        <v>1028</v>
      </c>
      <c r="F16" s="531"/>
      <c r="H16" s="519"/>
      <c r="I16" s="1215">
        <f>IF(Pol05_credits=0,0,1)</f>
        <v>1</v>
      </c>
      <c r="J16" s="1214" t="s">
        <v>269</v>
      </c>
      <c r="K16" s="519"/>
      <c r="L16" s="91" t="str">
        <f>IF('Manuell filtrering og justering'!$I$2='Manuell filtrering og justering'!$J$2,"",M15)</f>
        <v>Assembly and leisure</v>
      </c>
      <c r="M16" s="367" t="s">
        <v>10</v>
      </c>
      <c r="N16" s="12"/>
      <c r="O16" s="519"/>
      <c r="P16" s="17"/>
      <c r="Q16" s="17"/>
      <c r="U16" s="17"/>
      <c r="V16" s="17"/>
      <c r="W16" s="17"/>
      <c r="X16" s="17"/>
      <c r="Y16" s="17"/>
      <c r="Z16" s="17"/>
      <c r="AA16" s="17"/>
      <c r="AB16" s="17"/>
      <c r="AC16" s="17"/>
      <c r="AD16" s="17"/>
      <c r="AF16" s="1">
        <v>12</v>
      </c>
    </row>
    <row r="17" spans="2:34" s="1" customFormat="1" ht="15.75" x14ac:dyDescent="0.25">
      <c r="B17" s="540" t="str">
        <f>IF('Manuell filtrering og justering'!I2='Manuell filtrering og justering'!J2,"Building type (main description)","")</f>
        <v/>
      </c>
      <c r="C17" s="622"/>
      <c r="E17" s="529" t="s">
        <v>1029</v>
      </c>
      <c r="F17" s="531" t="s">
        <v>13</v>
      </c>
      <c r="H17" s="93"/>
      <c r="I17" s="1215"/>
      <c r="J17" s="1214" t="s">
        <v>270</v>
      </c>
      <c r="K17" s="519"/>
      <c r="L17" s="91" t="str">
        <f>IF('Manuell filtrering og justering'!$I$2='Manuell filtrering og justering'!$J$2,"",M17)</f>
        <v>Other</v>
      </c>
      <c r="M17" s="1" t="s">
        <v>1019</v>
      </c>
      <c r="N17" s="12"/>
      <c r="O17" s="519"/>
      <c r="P17" s="17"/>
      <c r="Q17" s="17"/>
      <c r="U17" s="17"/>
      <c r="V17" s="17"/>
      <c r="W17" s="17"/>
      <c r="X17" s="17"/>
      <c r="Y17" s="17"/>
      <c r="Z17" s="17"/>
      <c r="AA17" s="17"/>
      <c r="AB17" s="17"/>
      <c r="AC17" s="17"/>
      <c r="AD17" s="17"/>
      <c r="AF17" s="1">
        <v>13</v>
      </c>
      <c r="AH17" s="93" t="s">
        <v>567</v>
      </c>
    </row>
    <row r="18" spans="2:34" s="1" customFormat="1" ht="15.75" x14ac:dyDescent="0.25">
      <c r="B18" s="528" t="s">
        <v>200</v>
      </c>
      <c r="C18" s="623"/>
      <c r="E18" s="529" t="s">
        <v>1025</v>
      </c>
      <c r="F18" s="530"/>
      <c r="G18" s="93" t="s">
        <v>337</v>
      </c>
      <c r="I18" s="70">
        <f>IF(Ene03_credits+Pol04_credits=0,0,1)</f>
        <v>1</v>
      </c>
      <c r="J18" s="1214" t="s">
        <v>222</v>
      </c>
      <c r="K18" s="519"/>
      <c r="L18" s="39"/>
      <c r="N18" s="12"/>
      <c r="O18" s="519"/>
      <c r="P18" s="17"/>
      <c r="Q18" s="91" t="s">
        <v>85</v>
      </c>
      <c r="U18" s="17"/>
      <c r="V18" s="17"/>
      <c r="W18" s="17"/>
      <c r="X18" s="17"/>
      <c r="Y18" s="17"/>
      <c r="Z18" s="17"/>
      <c r="AA18" s="17"/>
      <c r="AB18" s="17"/>
      <c r="AC18" s="17"/>
      <c r="AD18" s="17"/>
      <c r="AH18" s="93" t="s">
        <v>568</v>
      </c>
    </row>
    <row r="19" spans="2:34" s="1" customFormat="1" ht="15.75" x14ac:dyDescent="0.25">
      <c r="B19" s="528" t="s">
        <v>201</v>
      </c>
      <c r="C19" s="624"/>
      <c r="E19" s="529" t="s">
        <v>928</v>
      </c>
      <c r="F19" s="537"/>
      <c r="G19" s="93" t="s">
        <v>957</v>
      </c>
      <c r="H19" s="17"/>
      <c r="I19" s="342">
        <f>IF(Poeng!X84+Poeng!X85=2,0,1)</f>
        <v>1</v>
      </c>
      <c r="J19" s="1214" t="s">
        <v>272</v>
      </c>
      <c r="K19" s="519"/>
      <c r="L19" s="39"/>
      <c r="M19" s="12"/>
      <c r="N19" s="12"/>
      <c r="O19" s="519"/>
      <c r="P19" s="17"/>
      <c r="Q19" s="91" t="s">
        <v>35</v>
      </c>
      <c r="U19" s="17"/>
      <c r="V19" s="17"/>
      <c r="W19" s="17"/>
      <c r="X19" s="17"/>
      <c r="Y19" s="17"/>
      <c r="Z19" s="17"/>
      <c r="AA19" s="17"/>
      <c r="AB19" s="17"/>
      <c r="AC19" s="17"/>
      <c r="AD19" s="17"/>
    </row>
    <row r="20" spans="2:34" s="1" customFormat="1" ht="15.75" x14ac:dyDescent="0.25">
      <c r="B20" s="532" t="s">
        <v>202</v>
      </c>
      <c r="C20" s="624"/>
      <c r="E20" s="529" t="s">
        <v>929</v>
      </c>
      <c r="F20" s="530"/>
      <c r="G20" s="17"/>
      <c r="H20" s="17"/>
      <c r="I20" s="342">
        <v>1</v>
      </c>
      <c r="J20" s="1214" t="s">
        <v>222</v>
      </c>
      <c r="K20" s="519"/>
      <c r="L20" s="39"/>
      <c r="M20" s="12"/>
      <c r="N20" s="12"/>
      <c r="O20" s="519"/>
      <c r="P20" s="17"/>
      <c r="Q20" s="17"/>
      <c r="U20" s="17"/>
      <c r="V20" s="17"/>
      <c r="W20" s="17"/>
      <c r="X20" s="17"/>
      <c r="Y20" s="17"/>
      <c r="Z20" s="17"/>
      <c r="AA20" s="17"/>
      <c r="AB20" s="17"/>
      <c r="AC20" s="17"/>
      <c r="AD20" s="17"/>
    </row>
    <row r="21" spans="2:34" s="1" customFormat="1" ht="15.75" x14ac:dyDescent="0.25">
      <c r="C21" s="625"/>
      <c r="E21" s="529" t="s">
        <v>1040</v>
      </c>
      <c r="F21" s="530"/>
      <c r="G21" s="93" t="s">
        <v>957</v>
      </c>
      <c r="H21" s="519">
        <f>IF(ADBT0=AE5,1,IF(OR(ADBT0=ADBT13,ADBT0=AD5,ADBT0=ADBT2,AND(ADBT0=ADBT8,OR(F6=U9,F6=U10))),1,0))</f>
        <v>1</v>
      </c>
      <c r="I21" s="1215">
        <f>IF(Poeng!X91+Poeng!X92=Poeng!S91+Poeng!S92,0,1)</f>
        <v>1</v>
      </c>
      <c r="J21" s="1214" t="s">
        <v>222</v>
      </c>
      <c r="K21" s="519">
        <f>Poeng!AA91</f>
        <v>1</v>
      </c>
      <c r="L21" s="39"/>
      <c r="M21" s="12"/>
      <c r="N21" s="12"/>
      <c r="P21" s="17"/>
      <c r="Q21" s="17"/>
      <c r="U21" s="17"/>
      <c r="V21" s="17"/>
      <c r="W21" s="17"/>
      <c r="X21" s="17"/>
      <c r="Y21" s="17"/>
      <c r="Z21" s="17"/>
      <c r="AA21" s="17"/>
      <c r="AB21" s="17"/>
      <c r="AC21" s="17"/>
      <c r="AD21" s="17"/>
    </row>
    <row r="22" spans="2:34" s="1" customFormat="1" ht="15" customHeight="1" x14ac:dyDescent="0.3">
      <c r="B22" s="524" t="s">
        <v>27</v>
      </c>
      <c r="C22" s="626"/>
      <c r="E22" s="543" t="s">
        <v>1017</v>
      </c>
      <c r="F22" s="530"/>
      <c r="I22" s="70">
        <f>IF(Poeng!X94=Poeng!S94,0,1)</f>
        <v>1</v>
      </c>
      <c r="J22" s="1214" t="s">
        <v>222</v>
      </c>
      <c r="K22" s="519">
        <f>Poeng!AA92</f>
        <v>4</v>
      </c>
      <c r="L22" s="39"/>
      <c r="M22" s="12"/>
      <c r="N22" s="12" t="s">
        <v>281</v>
      </c>
      <c r="O22" s="17"/>
      <c r="P22" s="17"/>
      <c r="Q22" s="91" t="s">
        <v>13</v>
      </c>
      <c r="U22" s="17"/>
      <c r="V22" s="17"/>
      <c r="W22" s="17"/>
      <c r="X22" s="17"/>
      <c r="Y22" s="17"/>
      <c r="Z22" s="17"/>
      <c r="AA22" s="17"/>
      <c r="AB22" s="17"/>
      <c r="AC22" s="17"/>
      <c r="AD22" s="17"/>
    </row>
    <row r="23" spans="2:34" s="1" customFormat="1" ht="15" customHeight="1" x14ac:dyDescent="0.25">
      <c r="B23" s="541" t="s">
        <v>28</v>
      </c>
      <c r="C23" s="616"/>
      <c r="E23" s="1139" t="s">
        <v>1006</v>
      </c>
      <c r="F23" s="530"/>
      <c r="G23" s="93" t="s">
        <v>337</v>
      </c>
      <c r="H23" s="519"/>
      <c r="I23" s="1215">
        <v>1</v>
      </c>
      <c r="J23" s="1214" t="s">
        <v>222</v>
      </c>
      <c r="M23" s="12"/>
      <c r="N23" s="12"/>
      <c r="O23" s="17"/>
      <c r="P23" s="17"/>
      <c r="Q23" s="91" t="s">
        <v>14</v>
      </c>
      <c r="T23" s="17"/>
      <c r="U23" s="17"/>
      <c r="V23" s="17"/>
      <c r="W23" s="17"/>
      <c r="X23" s="17"/>
      <c r="Y23" s="17"/>
      <c r="Z23" s="17"/>
      <c r="AA23" s="17"/>
      <c r="AB23" s="17"/>
      <c r="AC23" s="17"/>
      <c r="AD23" s="17"/>
    </row>
    <row r="24" spans="2:34" s="1" customFormat="1" ht="15" customHeight="1" x14ac:dyDescent="0.25">
      <c r="B24" s="542" t="s">
        <v>29</v>
      </c>
      <c r="C24" s="616"/>
      <c r="E24" s="543" t="s">
        <v>924</v>
      </c>
      <c r="F24" s="530"/>
      <c r="G24" s="93" t="s">
        <v>337</v>
      </c>
      <c r="H24" s="93"/>
      <c r="I24" s="1215">
        <f>IF(Pol01_credits=0,0,1)</f>
        <v>1</v>
      </c>
      <c r="J24" s="1214" t="s">
        <v>222</v>
      </c>
      <c r="K24" s="519"/>
      <c r="L24" s="39"/>
      <c r="M24" s="12"/>
      <c r="N24" s="12"/>
      <c r="O24" s="544" t="s">
        <v>275</v>
      </c>
      <c r="P24" s="17"/>
      <c r="Q24" s="91" t="s">
        <v>48</v>
      </c>
      <c r="T24" s="17"/>
      <c r="U24" s="17"/>
      <c r="V24" s="17"/>
      <c r="W24" s="17"/>
      <c r="X24" s="17"/>
      <c r="Y24" s="17"/>
      <c r="Z24" s="17"/>
      <c r="AA24" s="17"/>
      <c r="AB24" s="17"/>
      <c r="AC24" s="17"/>
      <c r="AD24" s="17"/>
    </row>
    <row r="25" spans="2:34" s="1" customFormat="1" ht="15" customHeight="1" x14ac:dyDescent="0.25">
      <c r="B25" s="542" t="s">
        <v>267</v>
      </c>
      <c r="C25" s="616"/>
      <c r="E25" s="543" t="s">
        <v>1041</v>
      </c>
      <c r="F25" s="530"/>
      <c r="G25" s="93" t="s">
        <v>337</v>
      </c>
      <c r="H25" s="93"/>
      <c r="I25" s="1215">
        <f>IF(Poeng!X205+Poeng!X206=Poeng!S205+Poeng!S206,0,1)</f>
        <v>1</v>
      </c>
      <c r="J25" s="1214" t="s">
        <v>222</v>
      </c>
      <c r="K25" s="519"/>
      <c r="L25" s="39"/>
      <c r="M25" s="12"/>
      <c r="N25" s="12"/>
      <c r="O25" s="544" t="s">
        <v>273</v>
      </c>
      <c r="P25" s="17"/>
      <c r="Q25" s="17"/>
      <c r="T25" s="17"/>
      <c r="U25" s="17"/>
      <c r="V25" s="17"/>
      <c r="W25" s="17"/>
      <c r="X25" s="17"/>
      <c r="Y25" s="17"/>
      <c r="Z25" s="17"/>
      <c r="AA25" s="17"/>
      <c r="AB25" s="17"/>
      <c r="AC25" s="17"/>
      <c r="AD25" s="17"/>
    </row>
    <row r="26" spans="2:34" s="1" customFormat="1" ht="15.75" x14ac:dyDescent="0.25">
      <c r="B26" s="542" t="s">
        <v>30</v>
      </c>
      <c r="C26" s="616"/>
      <c r="E26" s="528" t="s">
        <v>1004</v>
      </c>
      <c r="F26" s="530"/>
      <c r="G26" s="93" t="s">
        <v>337</v>
      </c>
      <c r="H26" s="519"/>
      <c r="I26" s="1215">
        <f>IF(Mat06_credits=0,0,1)</f>
        <v>1</v>
      </c>
      <c r="J26" s="1214" t="s">
        <v>280</v>
      </c>
      <c r="K26" s="519"/>
      <c r="L26" s="39"/>
      <c r="M26" s="12"/>
      <c r="N26" s="12"/>
      <c r="O26" s="544" t="s">
        <v>276</v>
      </c>
      <c r="P26" s="17"/>
      <c r="Q26" s="91" t="s">
        <v>293</v>
      </c>
      <c r="T26" s="17"/>
      <c r="U26" s="17"/>
      <c r="V26" s="17"/>
      <c r="W26" s="17"/>
      <c r="X26" s="17"/>
      <c r="Y26" s="17"/>
      <c r="Z26" s="17"/>
      <c r="AA26" s="17"/>
      <c r="AB26" s="17"/>
      <c r="AC26" s="17"/>
      <c r="AD26" s="17"/>
    </row>
    <row r="27" spans="2:34" s="1" customFormat="1" ht="15.75" x14ac:dyDescent="0.25">
      <c r="B27" s="542" t="s">
        <v>322</v>
      </c>
      <c r="C27" s="616"/>
      <c r="E27" s="1218" t="s">
        <v>927</v>
      </c>
      <c r="F27" s="530"/>
      <c r="G27" s="93" t="s">
        <v>337</v>
      </c>
      <c r="H27" s="519"/>
      <c r="I27" s="1216">
        <f>IF(Pol05_credits=0,0,1)</f>
        <v>1</v>
      </c>
      <c r="J27" s="1214" t="s">
        <v>222</v>
      </c>
      <c r="K27" s="519"/>
      <c r="L27" s="39"/>
      <c r="M27" s="12"/>
      <c r="N27" s="12"/>
      <c r="O27" s="544" t="s">
        <v>277</v>
      </c>
      <c r="P27" s="17"/>
      <c r="Q27" s="91" t="s">
        <v>294</v>
      </c>
      <c r="S27" s="17"/>
      <c r="T27" s="17"/>
      <c r="U27" s="17"/>
      <c r="V27" s="17"/>
      <c r="W27" s="17"/>
      <c r="X27" s="17"/>
      <c r="Y27" s="17"/>
      <c r="Z27" s="17"/>
      <c r="AA27" s="17"/>
      <c r="AB27" s="17"/>
      <c r="AC27" s="17"/>
      <c r="AD27" s="17"/>
    </row>
    <row r="28" spans="2:34" s="1" customFormat="1" ht="15.75" x14ac:dyDescent="0.25">
      <c r="B28" s="542" t="s">
        <v>321</v>
      </c>
      <c r="C28" s="616"/>
      <c r="E28" s="1217" t="s">
        <v>1027</v>
      </c>
      <c r="F28" s="530"/>
      <c r="G28" s="519"/>
      <c r="H28" s="519"/>
      <c r="I28" s="1215">
        <f>IF(Inn05_credits=0,0,IF(OR(F6=U6,F6=U7,F5=Y5,F5=X5,F5=Z5),1,0))</f>
        <v>0</v>
      </c>
      <c r="J28" s="1214" t="s">
        <v>222</v>
      </c>
      <c r="K28" s="519"/>
      <c r="L28" s="41"/>
      <c r="M28" s="12"/>
      <c r="N28" s="12"/>
      <c r="O28" s="544" t="s">
        <v>278</v>
      </c>
      <c r="P28" s="17"/>
      <c r="Q28" s="91" t="s">
        <v>295</v>
      </c>
      <c r="T28" s="17"/>
      <c r="U28" s="17"/>
      <c r="V28" s="17"/>
      <c r="W28" s="17"/>
      <c r="X28" s="17"/>
      <c r="Y28" s="17"/>
      <c r="Z28" s="17"/>
      <c r="AA28" s="17"/>
      <c r="AB28" s="17"/>
      <c r="AC28" s="17"/>
      <c r="AD28" s="17"/>
    </row>
    <row r="29" spans="2:34" s="1" customFormat="1" ht="15.75" x14ac:dyDescent="0.25">
      <c r="B29" s="542" t="s">
        <v>320</v>
      </c>
      <c r="C29" s="616"/>
      <c r="E29" s="1029"/>
      <c r="F29" s="538"/>
      <c r="G29" s="519"/>
      <c r="H29" s="519"/>
      <c r="I29" s="1215"/>
      <c r="M29" s="12"/>
      <c r="N29" s="12"/>
      <c r="O29" s="544" t="s">
        <v>274</v>
      </c>
      <c r="P29" s="17"/>
      <c r="Q29" s="91" t="s">
        <v>39</v>
      </c>
      <c r="T29" s="17"/>
      <c r="U29" s="17"/>
      <c r="V29" s="17"/>
      <c r="W29" s="17"/>
      <c r="X29" s="17"/>
      <c r="Y29" s="17"/>
      <c r="Z29" s="17"/>
      <c r="AA29" s="17"/>
      <c r="AB29" s="17"/>
      <c r="AC29" s="17"/>
      <c r="AD29" s="17"/>
    </row>
    <row r="30" spans="2:34" s="1" customFormat="1" ht="15.75" x14ac:dyDescent="0.25">
      <c r="B30" s="542" t="s">
        <v>318</v>
      </c>
      <c r="C30" s="616"/>
      <c r="E30" s="545" t="s">
        <v>289</v>
      </c>
      <c r="F30" s="546">
        <f>Poeng_tot</f>
        <v>153</v>
      </c>
      <c r="G30" s="519"/>
      <c r="H30" s="519"/>
      <c r="I30" s="519"/>
      <c r="J30" s="544" t="s">
        <v>925</v>
      </c>
      <c r="K30" s="2"/>
      <c r="L30" s="41"/>
      <c r="M30" s="12"/>
      <c r="N30" s="12"/>
      <c r="O30" s="544" t="s">
        <v>279</v>
      </c>
      <c r="P30" s="17"/>
      <c r="Q30" s="519"/>
      <c r="T30" s="17"/>
      <c r="U30" s="17"/>
      <c r="V30" s="17"/>
      <c r="W30" s="17"/>
      <c r="X30" s="17"/>
      <c r="Y30" s="17"/>
      <c r="Z30" s="17"/>
      <c r="AA30" s="17"/>
      <c r="AB30" s="17"/>
      <c r="AC30" s="17"/>
      <c r="AD30" s="17"/>
    </row>
    <row r="31" spans="2:34" s="1" customFormat="1" ht="15.75" x14ac:dyDescent="0.25">
      <c r="B31" s="542" t="s">
        <v>319</v>
      </c>
      <c r="C31" s="616"/>
      <c r="E31" s="529" t="s">
        <v>290</v>
      </c>
      <c r="F31" s="546">
        <f>Poeng_bort</f>
        <v>0</v>
      </c>
      <c r="G31" s="519"/>
      <c r="H31" s="519"/>
      <c r="I31" s="519"/>
      <c r="J31" s="544" t="s">
        <v>926</v>
      </c>
      <c r="K31" s="2"/>
      <c r="L31" s="41"/>
      <c r="M31" s="12"/>
      <c r="N31" s="12"/>
      <c r="O31" s="17"/>
      <c r="P31" s="17"/>
      <c r="Q31" s="91" t="s">
        <v>42</v>
      </c>
      <c r="S31" s="17"/>
      <c r="T31" s="17"/>
      <c r="U31" s="17"/>
      <c r="V31" s="17"/>
      <c r="W31" s="17"/>
      <c r="X31" s="17"/>
      <c r="Y31" s="17"/>
      <c r="Z31" s="17"/>
      <c r="AA31" s="17"/>
      <c r="AB31" s="17"/>
      <c r="AC31" s="17"/>
      <c r="AD31" s="17"/>
    </row>
    <row r="32" spans="2:34" s="1" customFormat="1" ht="15.75" x14ac:dyDescent="0.25">
      <c r="B32" s="547" t="s">
        <v>333</v>
      </c>
      <c r="C32" s="616"/>
      <c r="E32" s="548" t="s">
        <v>66</v>
      </c>
      <c r="F32" s="546">
        <f>Poeng_tilgj</f>
        <v>153</v>
      </c>
      <c r="G32" s="519"/>
      <c r="H32" s="519"/>
      <c r="I32" s="519"/>
      <c r="J32" s="2"/>
      <c r="K32" s="2"/>
      <c r="L32" s="41"/>
      <c r="M32" s="13"/>
      <c r="N32" s="13"/>
      <c r="O32" s="17"/>
      <c r="P32" s="17"/>
      <c r="Q32" s="91" t="s">
        <v>40</v>
      </c>
      <c r="R32" s="17"/>
      <c r="S32" s="17"/>
      <c r="T32" s="17"/>
      <c r="U32" s="17"/>
      <c r="V32" s="17"/>
      <c r="W32" s="17"/>
      <c r="X32" s="17"/>
      <c r="Y32" s="17"/>
      <c r="Z32" s="17"/>
      <c r="AA32" s="17"/>
      <c r="AB32" s="17"/>
      <c r="AC32" s="17"/>
      <c r="AD32" s="17"/>
    </row>
    <row r="33" spans="2:30" s="1" customFormat="1" ht="15.75" x14ac:dyDescent="0.25">
      <c r="G33" s="519"/>
      <c r="H33" s="519"/>
      <c r="I33" s="519"/>
      <c r="J33" s="9"/>
      <c r="K33" s="9"/>
      <c r="L33" s="39"/>
      <c r="M33" s="13"/>
      <c r="N33" s="13"/>
      <c r="O33" s="93" t="s">
        <v>1038</v>
      </c>
      <c r="P33" s="17"/>
      <c r="Q33" s="91" t="s">
        <v>41</v>
      </c>
      <c r="R33" s="17"/>
      <c r="S33" s="17"/>
      <c r="T33" s="17"/>
      <c r="U33" s="17"/>
      <c r="V33" s="17"/>
      <c r="W33" s="17"/>
      <c r="X33" s="17"/>
      <c r="Y33" s="17"/>
      <c r="Z33" s="17"/>
      <c r="AA33" s="17"/>
      <c r="AB33" s="17"/>
      <c r="AC33" s="17"/>
      <c r="AD33" s="17"/>
    </row>
    <row r="34" spans="2:30" s="1" customFormat="1" ht="18.75" x14ac:dyDescent="0.3">
      <c r="B34" s="549" t="s">
        <v>401</v>
      </c>
      <c r="E34" s="549" t="s">
        <v>400</v>
      </c>
      <c r="G34" s="519"/>
      <c r="H34" s="519"/>
      <c r="I34" s="519"/>
      <c r="J34" s="9"/>
      <c r="K34" s="9"/>
      <c r="L34" s="39"/>
      <c r="M34" s="13"/>
      <c r="N34" s="13"/>
      <c r="O34" s="93" t="s">
        <v>282</v>
      </c>
      <c r="P34" s="17"/>
      <c r="Q34" s="94"/>
      <c r="R34" s="17"/>
      <c r="S34" s="17"/>
      <c r="T34" s="17"/>
      <c r="U34" s="17"/>
      <c r="V34" s="17"/>
      <c r="W34" s="17"/>
      <c r="X34" s="17"/>
      <c r="Y34" s="17"/>
      <c r="Z34" s="17"/>
      <c r="AA34" s="17"/>
      <c r="AB34" s="17"/>
      <c r="AC34" s="17"/>
      <c r="AD34" s="17"/>
    </row>
    <row r="35" spans="2:30" s="1" customFormat="1" ht="80.25" customHeight="1" x14ac:dyDescent="0.25">
      <c r="B35" s="1269"/>
      <c r="C35" s="1270"/>
      <c r="E35" s="1269"/>
      <c r="F35" s="1270"/>
      <c r="G35" s="519"/>
      <c r="H35" s="519"/>
      <c r="I35" s="519"/>
      <c r="J35" s="89"/>
      <c r="K35" s="89"/>
      <c r="L35" s="12"/>
      <c r="M35" s="12"/>
      <c r="N35" s="12"/>
      <c r="O35" s="17"/>
      <c r="P35" s="16"/>
      <c r="Q35" s="519"/>
      <c r="R35" s="16"/>
      <c r="S35" s="16"/>
      <c r="T35" s="16"/>
      <c r="U35" s="17"/>
      <c r="V35" s="17"/>
      <c r="W35" s="17"/>
      <c r="X35" s="17"/>
      <c r="Y35" s="17"/>
      <c r="Z35" s="17"/>
      <c r="AA35" s="17"/>
      <c r="AB35" s="17"/>
      <c r="AC35" s="17"/>
      <c r="AD35" s="17"/>
    </row>
    <row r="36" spans="2:30" s="1" customFormat="1" ht="15.75" x14ac:dyDescent="0.25">
      <c r="E36" s="89"/>
      <c r="F36" s="89"/>
      <c r="G36" s="519"/>
      <c r="H36" s="519"/>
      <c r="I36" s="519"/>
      <c r="J36" s="89"/>
      <c r="K36" s="89"/>
      <c r="L36" s="12"/>
      <c r="M36" s="12"/>
      <c r="N36" s="12"/>
      <c r="O36" s="17"/>
      <c r="P36" s="16"/>
      <c r="Q36" s="519"/>
      <c r="R36" s="16"/>
      <c r="S36" s="16"/>
      <c r="T36" s="16"/>
      <c r="U36" s="17"/>
      <c r="V36" s="17"/>
      <c r="W36" s="17"/>
      <c r="X36" s="17"/>
      <c r="Y36" s="17"/>
      <c r="Z36" s="17"/>
      <c r="AA36" s="17"/>
      <c r="AB36" s="17"/>
      <c r="AC36" s="17"/>
      <c r="AD36" s="17"/>
    </row>
    <row r="37" spans="2:30" s="1" customFormat="1" ht="15.75" x14ac:dyDescent="0.25">
      <c r="B37" s="519" t="s">
        <v>972</v>
      </c>
      <c r="E37" s="89"/>
      <c r="F37" s="89"/>
      <c r="G37" s="519"/>
      <c r="H37" s="519"/>
      <c r="I37" s="519"/>
      <c r="J37" s="89"/>
      <c r="K37" s="89"/>
      <c r="L37" s="12"/>
      <c r="M37" s="12"/>
      <c r="N37" s="12"/>
      <c r="O37" s="17"/>
      <c r="P37" s="16"/>
      <c r="Q37" s="1058"/>
      <c r="R37" s="16"/>
      <c r="S37" s="16"/>
      <c r="T37" s="16"/>
      <c r="U37" s="17"/>
      <c r="V37" s="17"/>
      <c r="W37" s="17"/>
      <c r="X37" s="17"/>
      <c r="Y37" s="17"/>
      <c r="Z37" s="17"/>
      <c r="AA37" s="17"/>
      <c r="AB37" s="17"/>
      <c r="AC37" s="17"/>
      <c r="AD37" s="17"/>
    </row>
    <row r="38" spans="2:30" s="1" customFormat="1" ht="15.75" x14ac:dyDescent="0.25">
      <c r="E38" s="89"/>
      <c r="F38" s="89"/>
      <c r="G38" s="519"/>
      <c r="H38" s="519"/>
      <c r="I38" s="519"/>
      <c r="J38" s="89"/>
      <c r="K38" s="89"/>
      <c r="L38" s="12"/>
      <c r="M38" s="12"/>
      <c r="N38" s="12"/>
      <c r="O38" s="17"/>
      <c r="P38" s="16"/>
      <c r="Q38" s="1058"/>
      <c r="R38" s="16"/>
      <c r="S38" s="16"/>
      <c r="T38" s="16"/>
      <c r="U38" s="17"/>
      <c r="V38" s="17"/>
      <c r="W38" s="17"/>
      <c r="X38" s="17"/>
      <c r="Y38" s="17"/>
      <c r="Z38" s="17"/>
      <c r="AA38" s="17"/>
      <c r="AB38" s="17"/>
      <c r="AC38" s="17"/>
      <c r="AD38" s="17"/>
    </row>
    <row r="39" spans="2:30" s="1" customFormat="1" ht="18.75" x14ac:dyDescent="0.3">
      <c r="B39" s="524" t="s">
        <v>50</v>
      </c>
      <c r="C39" s="7"/>
      <c r="D39" s="7"/>
      <c r="E39" s="550"/>
      <c r="F39" s="551"/>
      <c r="G39" s="519"/>
      <c r="H39" s="519"/>
      <c r="I39" s="519"/>
      <c r="L39" s="12"/>
      <c r="M39" s="12"/>
      <c r="N39" s="12"/>
      <c r="O39" s="17"/>
      <c r="P39" s="16"/>
      <c r="Q39" s="1058"/>
      <c r="R39" s="16"/>
      <c r="S39" s="16"/>
      <c r="T39" s="16"/>
      <c r="U39" s="17"/>
      <c r="V39" s="17"/>
      <c r="W39" s="17"/>
      <c r="X39" s="17"/>
      <c r="Y39" s="17"/>
      <c r="Z39" s="17"/>
      <c r="AA39" s="17"/>
      <c r="AB39" s="17"/>
      <c r="AC39" s="17"/>
      <c r="AD39" s="17"/>
    </row>
    <row r="40" spans="2:30" s="1" customFormat="1" ht="64.5" customHeight="1" x14ac:dyDescent="0.25">
      <c r="B40" s="1268" t="str">
        <f>"I, "&amp;AD_assessor&amp;O33</f>
        <v>I, ,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v>
      </c>
      <c r="C40" s="1268"/>
      <c r="D40" s="1268"/>
      <c r="E40" s="1268"/>
      <c r="F40" s="1268"/>
      <c r="G40" s="519"/>
      <c r="H40" s="519"/>
      <c r="I40" s="519"/>
      <c r="L40" s="14"/>
      <c r="M40" s="14"/>
      <c r="N40" s="12"/>
      <c r="O40" s="1" t="s">
        <v>271</v>
      </c>
      <c r="P40" s="2"/>
      <c r="R40" s="16"/>
      <c r="S40" s="16"/>
      <c r="T40" s="16"/>
      <c r="U40" s="17"/>
      <c r="V40" s="17"/>
      <c r="W40" s="17"/>
      <c r="X40" s="17"/>
      <c r="Y40" s="17"/>
      <c r="Z40" s="17"/>
      <c r="AA40" s="17"/>
      <c r="AB40" s="17"/>
      <c r="AC40" s="17"/>
      <c r="AD40" s="17"/>
    </row>
    <row r="41" spans="2:30" s="1" customFormat="1" ht="32.25" customHeight="1" x14ac:dyDescent="0.25">
      <c r="B41" s="552"/>
      <c r="C41" s="552"/>
      <c r="D41" s="552"/>
      <c r="E41" s="552"/>
      <c r="F41" s="552"/>
      <c r="G41" s="519"/>
      <c r="H41" s="519"/>
      <c r="I41" s="519"/>
      <c r="L41" s="14"/>
      <c r="M41" s="14"/>
      <c r="N41" s="12"/>
      <c r="P41" s="2"/>
      <c r="R41" s="16"/>
      <c r="S41" s="16"/>
      <c r="T41" s="16"/>
      <c r="U41" s="17"/>
      <c r="V41" s="17"/>
      <c r="W41" s="17"/>
      <c r="X41" s="17"/>
      <c r="Y41" s="17"/>
      <c r="Z41" s="17"/>
      <c r="AA41" s="17"/>
      <c r="AB41" s="17"/>
      <c r="AC41" s="17"/>
      <c r="AD41" s="17"/>
    </row>
    <row r="42" spans="2:30" s="1" customFormat="1" ht="15.75" x14ac:dyDescent="0.25">
      <c r="B42" s="553" t="s">
        <v>314</v>
      </c>
      <c r="C42" s="627"/>
      <c r="D42" s="554"/>
      <c r="E42" s="555"/>
      <c r="F42" s="556"/>
      <c r="G42" s="519"/>
      <c r="H42" s="519"/>
      <c r="I42" s="519"/>
      <c r="J42" s="12"/>
      <c r="K42" s="12"/>
      <c r="L42" s="12"/>
      <c r="M42" s="12"/>
      <c r="N42" s="12"/>
      <c r="O42" s="90" t="s">
        <v>255</v>
      </c>
      <c r="P42" s="47" t="s">
        <v>11</v>
      </c>
      <c r="Q42" s="546"/>
      <c r="R42" s="16"/>
      <c r="S42" s="16"/>
      <c r="T42" s="16"/>
      <c r="U42" s="17"/>
      <c r="V42" s="17"/>
      <c r="W42" s="17"/>
      <c r="X42" s="17"/>
      <c r="Y42" s="17"/>
      <c r="Z42" s="17"/>
      <c r="AA42" s="17"/>
      <c r="AB42" s="17"/>
      <c r="AC42" s="17"/>
      <c r="AD42" s="17"/>
    </row>
    <row r="43" spans="2:30" s="1" customFormat="1" ht="15.75" x14ac:dyDescent="0.25">
      <c r="B43" s="557" t="s">
        <v>9</v>
      </c>
      <c r="C43" s="627"/>
      <c r="D43" s="554"/>
      <c r="E43" s="555"/>
      <c r="F43" s="556"/>
      <c r="G43" s="519"/>
      <c r="H43" s="519"/>
      <c r="I43" s="519"/>
      <c r="J43" s="12"/>
      <c r="K43" s="12"/>
      <c r="L43" s="12"/>
      <c r="M43" s="12"/>
      <c r="N43" s="12"/>
      <c r="O43" s="47" t="s">
        <v>291</v>
      </c>
      <c r="P43" s="546"/>
      <c r="Q43" s="519"/>
      <c r="R43" s="40" t="s">
        <v>266</v>
      </c>
      <c r="S43" s="16"/>
      <c r="T43" s="16"/>
      <c r="U43" s="17"/>
      <c r="V43" s="17"/>
      <c r="W43" s="17"/>
      <c r="X43" s="17"/>
      <c r="Y43" s="17"/>
      <c r="Z43" s="17"/>
      <c r="AA43" s="17"/>
      <c r="AB43" s="17"/>
      <c r="AC43" s="17"/>
      <c r="AD43" s="17"/>
    </row>
    <row r="44" spans="2:30" s="1" customFormat="1" ht="16.5" thickBot="1" x14ac:dyDescent="0.3">
      <c r="B44" s="2"/>
      <c r="C44" s="554"/>
      <c r="D44" s="554"/>
      <c r="E44" s="558"/>
      <c r="F44" s="558"/>
      <c r="G44" s="519"/>
      <c r="H44" s="519"/>
      <c r="I44" s="519"/>
      <c r="J44" s="28"/>
      <c r="K44" s="28"/>
      <c r="L44" s="28"/>
      <c r="M44" s="28"/>
      <c r="N44" s="28"/>
      <c r="P44" s="17"/>
      <c r="Q44" s="17"/>
      <c r="R44" s="17"/>
      <c r="S44" s="17"/>
      <c r="T44" s="17"/>
      <c r="U44" s="17"/>
      <c r="V44" s="17"/>
      <c r="W44" s="17"/>
      <c r="X44" s="17"/>
      <c r="Y44" s="17"/>
      <c r="Z44" s="17"/>
      <c r="AA44" s="17"/>
      <c r="AB44" s="17"/>
      <c r="AC44" s="17"/>
      <c r="AD44" s="17"/>
    </row>
    <row r="45" spans="2:30" s="1" customFormat="1" ht="28.5" customHeight="1" x14ac:dyDescent="0.3">
      <c r="B45" s="524" t="s">
        <v>203</v>
      </c>
      <c r="C45" s="7"/>
      <c r="D45" s="7"/>
      <c r="E45" s="559"/>
      <c r="F45" s="559"/>
      <c r="G45" s="519"/>
      <c r="H45" s="519"/>
      <c r="I45" s="519"/>
      <c r="J45" s="28"/>
      <c r="K45" s="28"/>
      <c r="L45" s="28"/>
      <c r="M45" s="28"/>
      <c r="N45" s="266"/>
      <c r="O45" s="560" t="s">
        <v>296</v>
      </c>
      <c r="P45" s="73">
        <v>1</v>
      </c>
      <c r="Q45" s="17"/>
      <c r="R45" s="16"/>
      <c r="S45" s="16"/>
      <c r="T45" s="16"/>
      <c r="U45" s="17"/>
      <c r="V45" s="17"/>
      <c r="W45" s="17"/>
      <c r="X45" s="17"/>
      <c r="Y45" s="17"/>
      <c r="Z45" s="17"/>
      <c r="AA45" s="17"/>
      <c r="AB45" s="17"/>
      <c r="AC45" s="17"/>
      <c r="AD45" s="17"/>
    </row>
    <row r="46" spans="2:30" s="1" customFormat="1" ht="73.5" customHeight="1" x14ac:dyDescent="0.25">
      <c r="B46" s="1266" t="s">
        <v>1039</v>
      </c>
      <c r="C46" s="1266"/>
      <c r="D46" s="1266"/>
      <c r="E46" s="1266"/>
      <c r="F46" s="1266"/>
      <c r="G46" s="519"/>
      <c r="H46" s="519"/>
      <c r="I46" s="519"/>
      <c r="J46" s="28"/>
      <c r="K46" s="28"/>
      <c r="L46" s="28"/>
      <c r="M46" s="28"/>
      <c r="N46" s="265"/>
      <c r="O46" s="561" t="s">
        <v>297</v>
      </c>
      <c r="P46" s="74">
        <v>2</v>
      </c>
      <c r="Q46" s="17"/>
      <c r="R46" s="16"/>
      <c r="S46" s="16"/>
      <c r="T46" s="16"/>
      <c r="U46" s="17"/>
      <c r="V46" s="17"/>
      <c r="W46" s="17"/>
      <c r="X46" s="17"/>
      <c r="Y46" s="17"/>
      <c r="Z46" s="17"/>
      <c r="AA46" s="17"/>
      <c r="AB46" s="17"/>
      <c r="AC46" s="17"/>
      <c r="AD46" s="17"/>
    </row>
    <row r="47" spans="2:30" s="1" customFormat="1" ht="15.75" x14ac:dyDescent="0.25">
      <c r="D47" s="562"/>
      <c r="E47" s="28"/>
      <c r="F47" s="28"/>
      <c r="G47" s="519"/>
      <c r="H47" s="519"/>
      <c r="I47" s="519"/>
      <c r="J47" s="28"/>
      <c r="K47" s="28"/>
      <c r="L47" s="28"/>
      <c r="M47" s="28"/>
      <c r="N47" s="264"/>
      <c r="O47" s="563" t="s">
        <v>298</v>
      </c>
      <c r="P47" s="74">
        <v>3</v>
      </c>
      <c r="Q47" s="519"/>
      <c r="R47" s="17"/>
      <c r="S47" s="17"/>
      <c r="T47" s="17"/>
      <c r="U47" s="17"/>
      <c r="V47" s="17"/>
      <c r="W47" s="17"/>
      <c r="X47" s="17"/>
      <c r="Y47" s="17"/>
      <c r="Z47" s="17"/>
      <c r="AA47" s="17"/>
      <c r="AB47" s="17"/>
      <c r="AC47" s="17"/>
      <c r="AD47" s="17"/>
    </row>
    <row r="48" spans="2:30" s="1" customFormat="1" ht="19.5" thickBot="1" x14ac:dyDescent="0.35">
      <c r="B48" s="524" t="s">
        <v>8</v>
      </c>
      <c r="C48" s="7"/>
      <c r="D48" s="7"/>
      <c r="E48" s="559"/>
      <c r="F48" s="564"/>
      <c r="G48" s="519"/>
      <c r="H48" s="519"/>
      <c r="I48" s="519"/>
      <c r="J48" s="12"/>
      <c r="K48" s="12"/>
      <c r="L48" s="12"/>
      <c r="M48" s="12"/>
      <c r="N48" s="12"/>
      <c r="O48" s="75" t="s">
        <v>0</v>
      </c>
      <c r="P48" s="76">
        <v>4</v>
      </c>
      <c r="Q48" s="17"/>
      <c r="R48" s="17"/>
      <c r="S48" s="17"/>
      <c r="T48" s="17"/>
      <c r="U48" s="17"/>
      <c r="V48" s="17"/>
      <c r="W48" s="17"/>
      <c r="X48" s="17"/>
      <c r="Y48" s="17"/>
      <c r="Z48" s="17"/>
      <c r="AA48" s="17"/>
      <c r="AB48" s="17"/>
      <c r="AC48" s="17"/>
      <c r="AD48" s="17"/>
    </row>
    <row r="49" spans="2:30" s="1" customFormat="1" ht="15.75" x14ac:dyDescent="0.25">
      <c r="B49" s="1267" t="s">
        <v>313</v>
      </c>
      <c r="C49" s="1267"/>
      <c r="D49" s="1267"/>
      <c r="E49" s="1267"/>
      <c r="F49" s="1267"/>
      <c r="G49" s="519"/>
      <c r="H49" s="519"/>
      <c r="I49" s="519"/>
      <c r="J49" s="12"/>
      <c r="K49" s="12"/>
      <c r="L49" s="12"/>
      <c r="M49" s="12"/>
      <c r="N49" s="12"/>
      <c r="Q49" s="17"/>
      <c r="R49" s="17"/>
      <c r="S49" s="17"/>
      <c r="T49" s="17"/>
      <c r="U49" s="17"/>
      <c r="V49" s="17"/>
      <c r="W49" s="17"/>
      <c r="X49" s="17"/>
      <c r="Y49" s="17"/>
      <c r="Z49" s="17"/>
      <c r="AA49" s="17"/>
      <c r="AB49" s="17"/>
      <c r="AC49" s="17"/>
      <c r="AD49" s="17"/>
    </row>
    <row r="50" spans="2:30" s="1" customFormat="1" ht="15.75" x14ac:dyDescent="0.25">
      <c r="B50" s="2"/>
      <c r="C50" s="2"/>
      <c r="D50" s="2"/>
      <c r="E50" s="565"/>
      <c r="F50" s="566"/>
      <c r="G50" s="519"/>
      <c r="H50" s="519"/>
      <c r="I50" s="519"/>
      <c r="J50" s="12"/>
      <c r="K50" s="12"/>
      <c r="L50" s="12"/>
      <c r="M50" s="12"/>
      <c r="N50" s="12"/>
      <c r="O50" s="79" t="s">
        <v>52</v>
      </c>
      <c r="Q50" s="741" t="s">
        <v>142</v>
      </c>
      <c r="R50" s="741" t="s">
        <v>120</v>
      </c>
      <c r="S50" s="741" t="s">
        <v>96</v>
      </c>
      <c r="T50" s="741" t="s">
        <v>551</v>
      </c>
      <c r="U50" s="741" t="s">
        <v>552</v>
      </c>
      <c r="V50" s="741" t="s">
        <v>4</v>
      </c>
      <c r="W50" s="741" t="s">
        <v>553</v>
      </c>
      <c r="X50" s="741" t="s">
        <v>554</v>
      </c>
      <c r="Y50" s="741" t="s">
        <v>555</v>
      </c>
      <c r="Z50" s="17"/>
      <c r="AA50" s="17"/>
      <c r="AB50" s="17"/>
      <c r="AC50" s="17"/>
      <c r="AD50" s="17"/>
    </row>
    <row r="51" spans="2:30" s="1" customFormat="1" ht="15.75" x14ac:dyDescent="0.25">
      <c r="B51" s="565" t="s">
        <v>403</v>
      </c>
      <c r="C51" s="2"/>
      <c r="D51" s="2"/>
      <c r="E51" s="565"/>
      <c r="F51" s="566"/>
      <c r="G51" s="519"/>
      <c r="H51" s="519"/>
      <c r="I51" s="519"/>
      <c r="J51" s="12"/>
      <c r="K51" s="12"/>
      <c r="L51" s="12"/>
      <c r="M51" s="12"/>
      <c r="N51" s="12"/>
      <c r="O51" s="70" t="s">
        <v>13</v>
      </c>
      <c r="Q51" s="342" t="s">
        <v>944</v>
      </c>
      <c r="R51" s="342" t="s">
        <v>546</v>
      </c>
      <c r="S51" s="342" t="s">
        <v>556</v>
      </c>
      <c r="T51" s="342" t="s">
        <v>580</v>
      </c>
      <c r="U51" s="342"/>
      <c r="V51" s="342" t="s">
        <v>569</v>
      </c>
      <c r="W51" s="342"/>
      <c r="X51" s="342"/>
      <c r="Y51" s="342" t="s">
        <v>563</v>
      </c>
      <c r="Z51" s="17"/>
      <c r="AA51" s="17"/>
      <c r="AB51" s="17"/>
      <c r="AC51" s="17"/>
      <c r="AD51" s="17"/>
    </row>
    <row r="52" spans="2:30" s="1" customFormat="1" ht="15.75" x14ac:dyDescent="0.25">
      <c r="B52" s="2"/>
      <c r="C52" s="19"/>
      <c r="D52" s="19"/>
      <c r="E52" s="567"/>
      <c r="F52" s="568"/>
      <c r="G52" s="519"/>
      <c r="H52" s="519"/>
      <c r="I52" s="519"/>
      <c r="J52" s="12"/>
      <c r="K52" s="12"/>
      <c r="L52" s="12"/>
      <c r="M52" s="12"/>
      <c r="N52" s="12"/>
      <c r="O52" s="70" t="s">
        <v>14</v>
      </c>
      <c r="Q52" s="342" t="s">
        <v>946</v>
      </c>
      <c r="R52" s="342" t="s">
        <v>547</v>
      </c>
      <c r="S52" s="342" t="s">
        <v>557</v>
      </c>
      <c r="T52" s="342" t="s">
        <v>579</v>
      </c>
      <c r="U52" s="342"/>
      <c r="V52" s="342" t="s">
        <v>570</v>
      </c>
      <c r="W52" s="342"/>
      <c r="X52" s="342"/>
      <c r="Y52" s="342" t="s">
        <v>564</v>
      </c>
      <c r="Z52" s="17"/>
      <c r="AA52" s="17"/>
      <c r="AB52" s="17"/>
      <c r="AC52" s="17"/>
      <c r="AD52" s="17"/>
    </row>
    <row r="53" spans="2:30" s="1" customFormat="1" ht="15.75" x14ac:dyDescent="0.25">
      <c r="F53" s="39"/>
      <c r="G53" s="519"/>
      <c r="H53" s="519"/>
      <c r="I53" s="519"/>
      <c r="J53" s="12"/>
      <c r="K53" s="12"/>
      <c r="L53" s="12"/>
      <c r="M53" s="12"/>
      <c r="N53" s="12"/>
      <c r="O53" s="17" t="s">
        <v>331</v>
      </c>
      <c r="P53" s="17"/>
      <c r="Q53" s="342" t="s">
        <v>945</v>
      </c>
      <c r="R53" s="342" t="s">
        <v>14</v>
      </c>
      <c r="S53" s="342" t="s">
        <v>558</v>
      </c>
      <c r="T53" s="342" t="s">
        <v>14</v>
      </c>
      <c r="U53" s="342"/>
      <c r="V53" s="342" t="s">
        <v>14</v>
      </c>
      <c r="W53" s="342"/>
      <c r="X53" s="342"/>
      <c r="Y53" s="342" t="s">
        <v>565</v>
      </c>
      <c r="Z53" s="17"/>
      <c r="AA53" s="17"/>
      <c r="AB53" s="17"/>
      <c r="AC53" s="17"/>
      <c r="AD53" s="17"/>
    </row>
    <row r="54" spans="2:30" s="1" customFormat="1" ht="15.75" x14ac:dyDescent="0.25">
      <c r="B54" s="569" t="s">
        <v>402</v>
      </c>
      <c r="C54" s="570" t="str">
        <f>TVC_current_version</f>
        <v>1.2</v>
      </c>
      <c r="D54" s="2"/>
      <c r="E54" s="571">
        <f>TVC_current_date</f>
        <v>44673</v>
      </c>
      <c r="F54" s="39"/>
      <c r="G54" s="519"/>
      <c r="H54" s="519"/>
      <c r="I54" s="519"/>
      <c r="J54" s="12"/>
      <c r="K54" s="12"/>
      <c r="L54" s="12"/>
      <c r="M54" s="12"/>
      <c r="N54" s="12"/>
      <c r="O54" s="17"/>
      <c r="P54" s="17"/>
      <c r="Q54" s="342" t="s">
        <v>14</v>
      </c>
      <c r="R54" s="342"/>
      <c r="S54" s="342" t="s">
        <v>14</v>
      </c>
      <c r="T54" s="342"/>
      <c r="U54" s="342"/>
      <c r="V54" s="342"/>
      <c r="W54" s="342"/>
      <c r="X54" s="342"/>
      <c r="Y54" s="342" t="s">
        <v>14</v>
      </c>
      <c r="Z54" s="17"/>
      <c r="AA54" s="17"/>
      <c r="AB54" s="17"/>
      <c r="AC54" s="17"/>
      <c r="AD54" s="17"/>
    </row>
    <row r="55" spans="2:30" s="1" customFormat="1" ht="15.75" x14ac:dyDescent="0.25">
      <c r="B55" s="2"/>
      <c r="C55" s="2"/>
      <c r="D55" s="2"/>
      <c r="E55" s="4"/>
      <c r="F55" s="39"/>
      <c r="G55" s="519"/>
      <c r="H55" s="519"/>
      <c r="I55" s="519"/>
      <c r="J55" s="12"/>
      <c r="K55" s="12"/>
      <c r="L55" s="12"/>
      <c r="M55" s="12"/>
      <c r="N55" s="12"/>
      <c r="O55" s="70" t="s">
        <v>335</v>
      </c>
      <c r="P55" s="17"/>
      <c r="Q55" s="342"/>
      <c r="R55" s="342"/>
      <c r="S55" s="342"/>
      <c r="T55" s="342"/>
      <c r="U55" s="342"/>
      <c r="V55" s="342"/>
      <c r="W55" s="342"/>
      <c r="X55" s="342"/>
      <c r="Y55" s="342"/>
      <c r="Z55" s="17"/>
      <c r="AA55" s="17"/>
      <c r="AB55" s="17"/>
      <c r="AC55" s="17"/>
      <c r="AD55" s="17"/>
    </row>
    <row r="56" spans="2:30" x14ac:dyDescent="0.25">
      <c r="B56" s="572"/>
      <c r="C56" s="37"/>
      <c r="D56" s="572"/>
      <c r="E56" s="572"/>
      <c r="F56" s="572"/>
      <c r="O56" s="342" t="s">
        <v>336</v>
      </c>
      <c r="P56" s="17"/>
      <c r="Q56" s="17"/>
      <c r="R56" s="17"/>
      <c r="S56" s="17"/>
      <c r="T56" s="17"/>
      <c r="U56" s="17"/>
      <c r="V56" s="17"/>
      <c r="W56" s="17"/>
      <c r="X56" s="17"/>
      <c r="Y56" s="17"/>
      <c r="Z56" s="17"/>
      <c r="AA56" s="17"/>
      <c r="AB56" s="17"/>
      <c r="AC56" s="17"/>
      <c r="AD56" s="17"/>
    </row>
    <row r="57" spans="2:30" s="1" customFormat="1" ht="15.75" x14ac:dyDescent="0.25">
      <c r="B57" s="519"/>
      <c r="C57" s="519"/>
      <c r="D57" s="519"/>
      <c r="E57" s="15"/>
      <c r="F57" s="12"/>
      <c r="G57" s="519"/>
      <c r="H57" s="519"/>
      <c r="I57" s="519"/>
      <c r="J57" s="12"/>
      <c r="K57" s="12"/>
      <c r="L57" s="12"/>
      <c r="M57" s="12"/>
      <c r="N57" s="12"/>
      <c r="O57" s="342" t="s">
        <v>13</v>
      </c>
      <c r="P57" s="17"/>
      <c r="Q57" s="17"/>
      <c r="R57" s="17"/>
      <c r="S57" s="17"/>
      <c r="T57" s="17"/>
      <c r="U57" s="17"/>
      <c r="V57" s="17"/>
      <c r="W57" s="17"/>
      <c r="X57" s="17"/>
      <c r="Y57" s="17"/>
      <c r="Z57" s="17"/>
      <c r="AA57" s="17"/>
      <c r="AB57" s="17"/>
      <c r="AC57" s="17"/>
      <c r="AD57" s="17"/>
    </row>
    <row r="58" spans="2:30" s="1" customFormat="1" ht="15.75" x14ac:dyDescent="0.25">
      <c r="B58" s="519"/>
      <c r="C58" s="519"/>
      <c r="D58" s="519"/>
      <c r="E58" s="15"/>
      <c r="F58" s="12"/>
      <c r="G58" s="519"/>
      <c r="H58" s="519"/>
      <c r="I58" s="519"/>
      <c r="J58" s="12"/>
      <c r="K58" s="12"/>
      <c r="L58" s="12"/>
      <c r="M58" s="12"/>
      <c r="N58" s="12"/>
      <c r="O58" s="342" t="s">
        <v>330</v>
      </c>
      <c r="P58" s="17"/>
      <c r="Q58" s="17"/>
      <c r="R58" s="17"/>
      <c r="S58" s="17"/>
      <c r="T58" s="17"/>
      <c r="U58" s="17"/>
      <c r="V58" s="17"/>
      <c r="W58" s="17"/>
      <c r="X58" s="17"/>
      <c r="Y58" s="17"/>
      <c r="Z58" s="17"/>
      <c r="AA58" s="17"/>
      <c r="AB58" s="17"/>
      <c r="AC58" s="17"/>
      <c r="AD58" s="17"/>
    </row>
    <row r="59" spans="2:30" s="1" customFormat="1" ht="15.75" x14ac:dyDescent="0.25">
      <c r="C59" s="33"/>
      <c r="E59" s="519"/>
      <c r="F59" s="519"/>
      <c r="G59" s="519"/>
      <c r="H59" s="519"/>
      <c r="I59" s="519"/>
      <c r="J59" s="519"/>
      <c r="K59" s="519"/>
      <c r="L59" s="519"/>
      <c r="M59" s="519"/>
      <c r="N59" s="519"/>
      <c r="O59" s="342" t="s">
        <v>331</v>
      </c>
      <c r="P59" s="92"/>
      <c r="Q59" s="17"/>
      <c r="R59" s="17"/>
      <c r="S59" s="17"/>
      <c r="T59" s="17"/>
      <c r="U59" s="17"/>
      <c r="V59" s="17"/>
      <c r="W59" s="17"/>
      <c r="X59" s="17"/>
      <c r="Y59" s="17"/>
      <c r="Z59" s="17"/>
      <c r="AA59" s="17"/>
      <c r="AB59" s="17"/>
      <c r="AC59" s="17"/>
      <c r="AD59" s="17"/>
    </row>
    <row r="60" spans="2:30" s="1" customFormat="1" ht="15.75" x14ac:dyDescent="0.25">
      <c r="B60" s="38"/>
      <c r="C60" s="34" t="s">
        <v>9</v>
      </c>
      <c r="E60" s="15"/>
      <c r="F60" s="12"/>
      <c r="G60" s="519"/>
      <c r="H60" s="519"/>
      <c r="I60" s="519"/>
      <c r="J60" s="12"/>
      <c r="K60" s="12"/>
      <c r="L60" s="12"/>
      <c r="M60" s="12"/>
      <c r="N60" s="12"/>
      <c r="O60" s="17"/>
      <c r="P60" s="92"/>
      <c r="Q60" s="17"/>
      <c r="R60" s="17"/>
      <c r="S60" s="17"/>
      <c r="T60" s="17"/>
      <c r="U60" s="17"/>
      <c r="V60" s="17"/>
      <c r="W60" s="17"/>
      <c r="X60" s="17"/>
      <c r="Y60" s="17"/>
      <c r="Z60" s="17"/>
      <c r="AA60" s="17"/>
      <c r="AB60" s="17"/>
      <c r="AC60" s="17"/>
      <c r="AD60" s="17"/>
    </row>
    <row r="61" spans="2:30" s="1" customFormat="1" ht="15.75" x14ac:dyDescent="0.25">
      <c r="C61" s="573"/>
      <c r="E61" s="15"/>
      <c r="F61" s="12"/>
      <c r="G61" s="519"/>
      <c r="H61" s="519"/>
      <c r="I61" s="519"/>
      <c r="J61" s="12"/>
      <c r="K61" s="12"/>
      <c r="L61" s="12"/>
      <c r="M61" s="12"/>
      <c r="N61" s="12"/>
      <c r="O61" s="342" t="s">
        <v>15</v>
      </c>
      <c r="P61" s="92"/>
      <c r="Q61" s="17"/>
      <c r="R61" s="17"/>
      <c r="S61" s="17"/>
      <c r="T61" s="17"/>
      <c r="U61" s="17"/>
      <c r="V61" s="17"/>
      <c r="W61" s="17"/>
      <c r="X61" s="17"/>
      <c r="Y61" s="17"/>
      <c r="Z61" s="17"/>
      <c r="AA61" s="17"/>
      <c r="AB61" s="17"/>
      <c r="AC61" s="17"/>
      <c r="AD61" s="17"/>
    </row>
    <row r="62" spans="2:30" s="1" customFormat="1" ht="15.75" x14ac:dyDescent="0.25">
      <c r="E62" s="15"/>
      <c r="F62" s="12"/>
      <c r="G62" s="519"/>
      <c r="H62" s="519"/>
      <c r="I62" s="519"/>
      <c r="J62" s="12"/>
      <c r="K62" s="12"/>
      <c r="L62" s="12"/>
      <c r="M62" s="12"/>
      <c r="N62" s="12"/>
      <c r="O62" s="17"/>
      <c r="P62" s="17"/>
      <c r="Q62" s="17"/>
      <c r="R62" s="17"/>
      <c r="S62" s="17"/>
      <c r="T62" s="17"/>
      <c r="U62" s="17"/>
      <c r="V62" s="17"/>
      <c r="W62" s="17"/>
      <c r="X62" s="17"/>
      <c r="Y62" s="17"/>
      <c r="Z62" s="17"/>
      <c r="AA62" s="17"/>
      <c r="AB62" s="17"/>
      <c r="AC62" s="17"/>
      <c r="AD62" s="17"/>
    </row>
    <row r="63" spans="2:30" s="1" customFormat="1" ht="15.75" x14ac:dyDescent="0.25">
      <c r="B63" s="22"/>
      <c r="C63" s="35"/>
      <c r="E63" s="29"/>
      <c r="F63" s="29"/>
      <c r="G63" s="519"/>
      <c r="H63" s="519"/>
      <c r="I63" s="519"/>
      <c r="J63" s="29"/>
      <c r="K63" s="29"/>
      <c r="L63" s="29"/>
      <c r="M63" s="29"/>
      <c r="N63" s="29"/>
      <c r="O63" s="17"/>
      <c r="P63" s="17"/>
      <c r="Q63" s="17"/>
      <c r="R63" s="17"/>
      <c r="S63" s="17"/>
      <c r="T63" s="17"/>
      <c r="U63" s="17"/>
      <c r="V63" s="17"/>
      <c r="W63" s="17"/>
      <c r="X63" s="17"/>
      <c r="Y63" s="17"/>
      <c r="Z63" s="17"/>
      <c r="AA63" s="17"/>
      <c r="AB63" s="17"/>
      <c r="AC63" s="17"/>
      <c r="AD63" s="17"/>
    </row>
    <row r="64" spans="2:30" s="1" customFormat="1" ht="15" customHeight="1" x14ac:dyDescent="0.25">
      <c r="B64" s="10"/>
      <c r="C64" s="36"/>
      <c r="E64" s="25"/>
      <c r="F64" s="14"/>
      <c r="G64" s="519"/>
      <c r="H64" s="519"/>
      <c r="I64" s="519"/>
      <c r="J64" s="14"/>
      <c r="K64" s="14"/>
      <c r="L64" s="14"/>
      <c r="M64" s="14"/>
      <c r="N64" s="14"/>
      <c r="O64" s="48" t="s">
        <v>292</v>
      </c>
      <c r="P64" s="530" t="s">
        <v>279</v>
      </c>
      <c r="Q64" s="17"/>
      <c r="R64" s="17"/>
      <c r="S64" s="17"/>
      <c r="T64" s="17"/>
      <c r="U64" s="519"/>
      <c r="V64" s="519"/>
      <c r="W64" s="519"/>
      <c r="X64" s="519"/>
      <c r="Y64" s="519"/>
      <c r="Z64" s="519"/>
      <c r="AA64" s="519"/>
      <c r="AB64" s="519"/>
      <c r="AC64" s="519"/>
      <c r="AD64" s="519"/>
    </row>
    <row r="65" spans="2:30" s="1" customFormat="1" ht="15.75" x14ac:dyDescent="0.25">
      <c r="B65" s="11"/>
      <c r="C65" s="36"/>
      <c r="E65" s="25"/>
      <c r="F65" s="14"/>
      <c r="G65" s="519"/>
      <c r="H65" s="519"/>
      <c r="I65" s="519"/>
      <c r="J65" s="14"/>
      <c r="K65" s="14"/>
      <c r="L65" s="14"/>
      <c r="M65" s="14"/>
      <c r="N65" s="14"/>
      <c r="O65" s="519"/>
      <c r="P65" s="519"/>
      <c r="Q65" s="519"/>
      <c r="R65" s="519"/>
      <c r="S65" s="519"/>
      <c r="T65" s="519"/>
      <c r="U65" s="519"/>
      <c r="V65" s="519"/>
      <c r="W65" s="519"/>
      <c r="X65" s="519"/>
      <c r="Y65" s="519"/>
      <c r="Z65" s="519"/>
      <c r="AA65" s="519"/>
      <c r="AB65" s="519"/>
      <c r="AC65" s="519"/>
      <c r="AD65" s="519"/>
    </row>
    <row r="66" spans="2:30" s="1" customFormat="1" ht="15.75" x14ac:dyDescent="0.25">
      <c r="B66" s="21"/>
      <c r="C66" s="35"/>
      <c r="E66" s="15"/>
      <c r="F66" s="12"/>
      <c r="G66" s="519"/>
      <c r="H66" s="519"/>
      <c r="I66" s="519"/>
      <c r="J66" s="12"/>
      <c r="K66" s="12"/>
      <c r="L66" s="12"/>
      <c r="M66" s="12"/>
      <c r="N66" s="12"/>
      <c r="O66" s="519"/>
      <c r="P66" s="519"/>
      <c r="Q66" s="519"/>
      <c r="R66" s="519"/>
      <c r="S66" s="519"/>
      <c r="T66" s="519"/>
      <c r="U66" s="519"/>
      <c r="V66" s="519"/>
      <c r="W66" s="519"/>
      <c r="X66" s="519"/>
      <c r="Y66" s="519"/>
      <c r="Z66" s="519"/>
      <c r="AA66" s="519"/>
      <c r="AB66" s="519"/>
      <c r="AC66" s="519"/>
      <c r="AD66" s="519"/>
    </row>
    <row r="67" spans="2:30" s="1" customFormat="1" ht="15.75" x14ac:dyDescent="0.25">
      <c r="B67" s="10"/>
      <c r="C67" s="36"/>
      <c r="E67" s="15"/>
      <c r="F67" s="12"/>
      <c r="G67" s="519"/>
      <c r="H67" s="519"/>
      <c r="I67" s="519"/>
      <c r="J67" s="12"/>
      <c r="K67" s="12"/>
      <c r="L67" s="12"/>
      <c r="M67" s="12"/>
      <c r="N67" s="12"/>
      <c r="O67" s="519"/>
      <c r="Q67" s="519"/>
      <c r="R67" s="519"/>
      <c r="S67" s="519"/>
      <c r="T67" s="519"/>
      <c r="U67" s="519"/>
      <c r="V67" s="519"/>
      <c r="W67" s="519"/>
      <c r="X67" s="519"/>
      <c r="Y67" s="519"/>
      <c r="Z67" s="519"/>
      <c r="AA67" s="519"/>
      <c r="AB67" s="519"/>
      <c r="AC67" s="519"/>
      <c r="AD67" s="519"/>
    </row>
    <row r="68" spans="2:30" s="1" customFormat="1" ht="15.75" x14ac:dyDescent="0.25">
      <c r="B68" s="5"/>
      <c r="C68" s="37"/>
      <c r="E68" s="15"/>
      <c r="F68" s="12"/>
      <c r="G68" s="519"/>
      <c r="H68" s="519"/>
      <c r="I68" s="519"/>
      <c r="J68" s="12"/>
      <c r="K68" s="12"/>
      <c r="L68" s="12"/>
      <c r="M68" s="12"/>
      <c r="N68" s="12"/>
      <c r="O68" s="519"/>
      <c r="P68" s="17"/>
      <c r="Q68" s="519"/>
      <c r="R68" s="519"/>
      <c r="S68" s="519"/>
      <c r="T68" s="519"/>
      <c r="U68" s="519"/>
      <c r="V68" s="519"/>
      <c r="W68" s="519"/>
      <c r="X68" s="519"/>
      <c r="Y68" s="519"/>
      <c r="Z68" s="519"/>
      <c r="AA68" s="519"/>
      <c r="AB68" s="519"/>
      <c r="AC68" s="519"/>
      <c r="AD68" s="519"/>
    </row>
    <row r="69" spans="2:30" s="1" customFormat="1" ht="15.75" x14ac:dyDescent="0.25">
      <c r="B69" s="2"/>
      <c r="C69" s="37"/>
      <c r="E69" s="15"/>
      <c r="F69" s="12"/>
      <c r="G69" s="519"/>
      <c r="H69" s="519"/>
      <c r="I69" s="519"/>
      <c r="J69" s="12"/>
      <c r="K69" s="12"/>
      <c r="L69" s="12"/>
      <c r="M69" s="12"/>
      <c r="N69" s="12"/>
      <c r="O69" s="529" t="s">
        <v>332</v>
      </c>
      <c r="P69" s="530" t="s">
        <v>13</v>
      </c>
      <c r="Q69" s="519"/>
      <c r="R69" s="519"/>
      <c r="S69" s="519"/>
      <c r="T69" s="519"/>
      <c r="U69" s="519"/>
      <c r="V69" s="519"/>
      <c r="W69" s="519"/>
      <c r="X69" s="519"/>
      <c r="Y69" s="519"/>
      <c r="Z69" s="519"/>
      <c r="AA69" s="519"/>
      <c r="AB69" s="519"/>
      <c r="AC69" s="519"/>
      <c r="AD69" s="519"/>
    </row>
    <row r="70" spans="2:30" s="1" customFormat="1" x14ac:dyDescent="0.25">
      <c r="B70" s="2"/>
      <c r="C70" s="37"/>
      <c r="E70" s="2"/>
      <c r="G70" s="519"/>
      <c r="H70" s="519"/>
      <c r="I70" s="519"/>
      <c r="O70" s="519"/>
      <c r="P70" s="519"/>
      <c r="Q70" s="519"/>
      <c r="R70" s="519"/>
      <c r="S70" s="519"/>
      <c r="T70" s="519"/>
      <c r="U70" s="519"/>
      <c r="V70" s="519"/>
      <c r="W70" s="519"/>
      <c r="X70" s="519"/>
      <c r="Y70" s="519"/>
      <c r="Z70" s="519"/>
      <c r="AA70" s="519"/>
      <c r="AB70" s="519"/>
      <c r="AC70" s="519"/>
      <c r="AD70" s="519"/>
    </row>
    <row r="71" spans="2:30" s="1" customFormat="1" x14ac:dyDescent="0.25">
      <c r="C71" s="18"/>
      <c r="E71" s="2"/>
      <c r="G71" s="519"/>
      <c r="H71" s="519"/>
      <c r="I71" s="519"/>
      <c r="O71" s="519"/>
      <c r="P71" s="519"/>
      <c r="Q71" s="519"/>
      <c r="R71" s="519"/>
      <c r="S71" s="519"/>
      <c r="T71" s="519"/>
      <c r="U71" s="519"/>
      <c r="V71" s="519"/>
      <c r="W71" s="519"/>
      <c r="X71" s="519"/>
      <c r="Y71" s="519"/>
      <c r="Z71" s="519"/>
      <c r="AA71" s="519"/>
      <c r="AB71" s="519"/>
      <c r="AC71" s="519"/>
      <c r="AD71" s="519"/>
    </row>
    <row r="72" spans="2:30" s="1" customFormat="1" x14ac:dyDescent="0.25">
      <c r="C72" s="18"/>
      <c r="E72" s="2"/>
      <c r="G72" s="519"/>
      <c r="H72" s="519"/>
      <c r="I72" s="519"/>
      <c r="O72" s="519"/>
      <c r="P72" s="519"/>
      <c r="Q72" s="519"/>
      <c r="R72" s="519"/>
      <c r="S72" s="519"/>
      <c r="T72" s="519"/>
      <c r="U72" s="519"/>
      <c r="V72" s="519"/>
      <c r="W72" s="519"/>
      <c r="X72" s="519"/>
      <c r="Y72" s="519"/>
      <c r="Z72" s="519"/>
      <c r="AA72" s="519"/>
      <c r="AB72" s="519"/>
      <c r="AC72" s="519"/>
      <c r="AD72" s="519"/>
    </row>
    <row r="73" spans="2:30" s="1" customFormat="1" x14ac:dyDescent="0.25">
      <c r="E73" s="2"/>
      <c r="G73" s="519"/>
      <c r="H73" s="519"/>
      <c r="I73" s="519"/>
      <c r="O73" s="519"/>
      <c r="P73" s="519"/>
      <c r="Q73" s="519"/>
      <c r="R73" s="519"/>
      <c r="S73" s="519"/>
      <c r="T73" s="519"/>
      <c r="U73" s="519"/>
      <c r="V73" s="519"/>
      <c r="W73" s="519"/>
      <c r="X73" s="519"/>
      <c r="Y73" s="519"/>
      <c r="Z73" s="519"/>
      <c r="AA73" s="519"/>
      <c r="AB73" s="519"/>
      <c r="AC73" s="519"/>
      <c r="AD73" s="519"/>
    </row>
    <row r="74" spans="2:30" s="1" customFormat="1" x14ac:dyDescent="0.25">
      <c r="C74" s="18"/>
      <c r="E74" s="2"/>
      <c r="G74" s="519"/>
      <c r="H74" s="519"/>
      <c r="I74" s="519"/>
      <c r="O74" s="519"/>
      <c r="P74" s="519"/>
      <c r="Q74" s="519"/>
      <c r="R74" s="519"/>
      <c r="S74" s="519"/>
      <c r="T74" s="519"/>
      <c r="U74" s="519"/>
      <c r="V74" s="519"/>
      <c r="W74" s="519"/>
      <c r="X74" s="519"/>
      <c r="Y74" s="519"/>
      <c r="Z74" s="519"/>
      <c r="AA74" s="519"/>
      <c r="AB74" s="519"/>
      <c r="AC74" s="519"/>
      <c r="AD74" s="519"/>
    </row>
    <row r="75" spans="2:30" s="1" customFormat="1" x14ac:dyDescent="0.25">
      <c r="C75" s="18"/>
      <c r="E75" s="2"/>
      <c r="G75" s="519"/>
      <c r="H75" s="519"/>
      <c r="I75" s="519"/>
      <c r="O75" s="519"/>
      <c r="P75" s="519"/>
      <c r="Q75" s="519"/>
      <c r="R75" s="519"/>
      <c r="S75" s="519"/>
      <c r="T75" s="519"/>
      <c r="U75" s="519"/>
      <c r="V75" s="519"/>
      <c r="W75" s="519"/>
      <c r="X75" s="519"/>
      <c r="Y75" s="519"/>
      <c r="Z75" s="519"/>
      <c r="AA75" s="519"/>
      <c r="AB75" s="519"/>
      <c r="AC75" s="519"/>
      <c r="AD75" s="519"/>
    </row>
    <row r="76" spans="2:30" s="1" customFormat="1" x14ac:dyDescent="0.25">
      <c r="C76" s="18"/>
      <c r="G76" s="519"/>
      <c r="H76" s="519"/>
      <c r="I76" s="519"/>
      <c r="O76" s="519"/>
      <c r="P76" s="519"/>
      <c r="Q76" s="519"/>
      <c r="R76" s="519"/>
      <c r="S76" s="519"/>
      <c r="T76" s="519"/>
      <c r="U76" s="519"/>
      <c r="V76" s="519"/>
      <c r="W76" s="519"/>
      <c r="X76" s="519"/>
      <c r="Y76" s="519"/>
      <c r="Z76" s="519"/>
      <c r="AA76" s="519"/>
      <c r="AB76" s="519"/>
      <c r="AC76" s="519"/>
      <c r="AD76" s="519"/>
    </row>
    <row r="77" spans="2:30" s="1" customFormat="1" x14ac:dyDescent="0.25">
      <c r="C77" s="18"/>
      <c r="G77" s="519"/>
      <c r="H77" s="519"/>
      <c r="I77" s="519"/>
      <c r="J77" s="2"/>
      <c r="K77" s="2"/>
      <c r="O77" s="519"/>
      <c r="P77" s="519"/>
      <c r="Q77" s="519"/>
      <c r="R77" s="519"/>
      <c r="S77" s="519"/>
      <c r="T77" s="519"/>
      <c r="U77" s="519"/>
      <c r="V77" s="519"/>
      <c r="W77" s="519"/>
      <c r="X77" s="519"/>
      <c r="Y77" s="519"/>
      <c r="Z77" s="519"/>
      <c r="AA77" s="519"/>
      <c r="AB77" s="519"/>
      <c r="AC77" s="519"/>
      <c r="AD77" s="519"/>
    </row>
    <row r="78" spans="2:30" s="1" customFormat="1" x14ac:dyDescent="0.25">
      <c r="C78" s="18"/>
      <c r="E78" s="2"/>
      <c r="G78" s="519"/>
      <c r="H78" s="519"/>
      <c r="I78" s="519"/>
      <c r="O78" s="519"/>
      <c r="P78" s="519"/>
      <c r="Q78" s="519"/>
      <c r="R78" s="519"/>
      <c r="S78" s="519"/>
      <c r="T78" s="519"/>
      <c r="U78" s="519"/>
      <c r="V78" s="519"/>
      <c r="W78" s="519"/>
      <c r="X78" s="519"/>
      <c r="Y78" s="519"/>
      <c r="Z78" s="519"/>
      <c r="AA78" s="519"/>
      <c r="AB78" s="519"/>
      <c r="AC78" s="519"/>
      <c r="AD78" s="519"/>
    </row>
    <row r="79" spans="2:30" s="1" customFormat="1" x14ac:dyDescent="0.25">
      <c r="C79" s="18"/>
      <c r="E79" s="2"/>
      <c r="G79" s="519"/>
      <c r="H79" s="519"/>
      <c r="I79" s="519"/>
      <c r="O79" s="519"/>
      <c r="P79" s="519"/>
      <c r="Q79" s="519"/>
      <c r="R79" s="519"/>
      <c r="S79" s="519"/>
      <c r="T79" s="519"/>
      <c r="U79" s="519"/>
      <c r="V79" s="519"/>
      <c r="W79" s="519"/>
      <c r="X79" s="519"/>
      <c r="Y79" s="519"/>
      <c r="Z79" s="519"/>
      <c r="AA79" s="519"/>
      <c r="AB79" s="519"/>
      <c r="AC79" s="519"/>
      <c r="AD79" s="519"/>
    </row>
    <row r="80" spans="2:30" s="1" customFormat="1" x14ac:dyDescent="0.25">
      <c r="C80" s="18"/>
      <c r="E80" s="2"/>
      <c r="G80" s="519"/>
      <c r="H80" s="519"/>
      <c r="I80" s="519"/>
      <c r="O80" s="519"/>
      <c r="P80" s="519"/>
      <c r="Q80" s="529" t="s">
        <v>26</v>
      </c>
      <c r="R80" s="530" t="s">
        <v>85</v>
      </c>
      <c r="S80" s="519"/>
      <c r="T80" s="519"/>
      <c r="U80" s="519"/>
      <c r="V80" s="519"/>
      <c r="W80" s="519"/>
      <c r="X80" s="519"/>
      <c r="Y80" s="519"/>
      <c r="Z80" s="519"/>
      <c r="AA80" s="519"/>
      <c r="AB80" s="519"/>
      <c r="AC80" s="519"/>
      <c r="AD80" s="519"/>
    </row>
    <row r="81" spans="3:30" s="1" customFormat="1" x14ac:dyDescent="0.25">
      <c r="C81" s="18"/>
      <c r="E81" s="2"/>
      <c r="G81" s="519"/>
      <c r="H81" s="519"/>
      <c r="I81" s="519"/>
      <c r="O81" s="519"/>
      <c r="P81" s="519"/>
      <c r="Q81" s="529" t="s">
        <v>323</v>
      </c>
      <c r="R81" s="531" t="s">
        <v>44</v>
      </c>
      <c r="S81" s="519"/>
      <c r="T81" s="519"/>
      <c r="U81" s="519"/>
      <c r="V81" s="519"/>
      <c r="W81" s="519"/>
      <c r="X81" s="519"/>
      <c r="Y81" s="519"/>
      <c r="Z81" s="519"/>
      <c r="AA81" s="519"/>
      <c r="AB81" s="519"/>
      <c r="AC81" s="519"/>
      <c r="AD81" s="519"/>
    </row>
    <row r="82" spans="3:30" s="1" customFormat="1" x14ac:dyDescent="0.25">
      <c r="C82" s="18"/>
      <c r="E82" s="2"/>
      <c r="G82" s="519"/>
      <c r="H82" s="519"/>
      <c r="I82" s="519"/>
      <c r="O82" s="519"/>
      <c r="P82" s="519"/>
      <c r="Q82" s="533" t="s">
        <v>324</v>
      </c>
      <c r="R82" s="531" t="s">
        <v>541</v>
      </c>
      <c r="S82" s="519"/>
      <c r="T82" s="519"/>
      <c r="U82" s="519"/>
      <c r="V82" s="519"/>
      <c r="W82" s="519"/>
      <c r="X82" s="519"/>
      <c r="Y82" s="519"/>
      <c r="Z82" s="519"/>
      <c r="AA82" s="519"/>
      <c r="AB82" s="519"/>
      <c r="AC82" s="519"/>
      <c r="AD82" s="519"/>
    </row>
    <row r="83" spans="3:30" s="1" customFormat="1" x14ac:dyDescent="0.25">
      <c r="C83" s="18"/>
      <c r="E83" s="2"/>
      <c r="G83" s="519"/>
      <c r="H83" s="519"/>
      <c r="I83" s="519"/>
      <c r="O83" s="519"/>
      <c r="P83" s="519"/>
      <c r="Q83" s="519"/>
      <c r="R83" s="519"/>
      <c r="S83" s="519"/>
      <c r="T83" s="519"/>
      <c r="U83" s="519"/>
      <c r="V83" s="519"/>
      <c r="W83" s="519"/>
      <c r="X83" s="519"/>
      <c r="Y83" s="519"/>
      <c r="Z83" s="519"/>
      <c r="AA83" s="519"/>
      <c r="AB83" s="519"/>
      <c r="AC83" s="519"/>
      <c r="AD83" s="519"/>
    </row>
    <row r="84" spans="3:30" s="1" customFormat="1" x14ac:dyDescent="0.25">
      <c r="E84" s="2"/>
      <c r="G84" s="519"/>
      <c r="H84" s="519"/>
      <c r="I84" s="519"/>
      <c r="O84" s="519"/>
      <c r="P84" s="519"/>
      <c r="Q84" s="519"/>
      <c r="R84" s="519"/>
      <c r="S84" s="519"/>
      <c r="T84" s="519"/>
      <c r="U84" s="519"/>
      <c r="V84" s="519"/>
      <c r="W84" s="519"/>
      <c r="X84" s="519"/>
      <c r="Y84" s="519"/>
      <c r="Z84" s="519"/>
      <c r="AA84" s="519"/>
      <c r="AB84" s="519"/>
      <c r="AC84" s="519"/>
      <c r="AD84" s="519"/>
    </row>
    <row r="85" spans="3:30" s="1" customFormat="1" x14ac:dyDescent="0.25">
      <c r="E85" s="2"/>
      <c r="G85" s="519"/>
      <c r="H85" s="519"/>
      <c r="I85" s="519"/>
      <c r="O85" s="519"/>
      <c r="P85" s="519"/>
      <c r="Q85" s="519"/>
      <c r="R85" s="519"/>
      <c r="S85" s="519"/>
      <c r="T85" s="519"/>
      <c r="U85" s="519"/>
      <c r="V85" s="519"/>
      <c r="W85" s="519"/>
      <c r="X85" s="519"/>
      <c r="Y85" s="519"/>
      <c r="Z85" s="519"/>
      <c r="AA85" s="519"/>
      <c r="AB85" s="519"/>
      <c r="AC85" s="519"/>
      <c r="AD85" s="519"/>
    </row>
    <row r="86" spans="3:30" s="1" customFormat="1" x14ac:dyDescent="0.25">
      <c r="E86" s="2"/>
      <c r="G86" s="519"/>
      <c r="H86" s="519"/>
      <c r="I86" s="519"/>
      <c r="O86" s="519"/>
      <c r="P86" s="519"/>
      <c r="Q86" s="519"/>
      <c r="R86" s="519"/>
      <c r="S86" s="519"/>
      <c r="T86" s="519"/>
      <c r="U86" s="519"/>
      <c r="V86" s="519"/>
      <c r="W86" s="519"/>
      <c r="X86" s="519"/>
      <c r="Y86" s="519"/>
      <c r="Z86" s="519"/>
      <c r="AA86" s="519"/>
      <c r="AB86" s="519"/>
      <c r="AC86" s="519"/>
      <c r="AD86" s="519"/>
    </row>
    <row r="87" spans="3:30" s="1" customFormat="1" x14ac:dyDescent="0.25">
      <c r="E87" s="2"/>
      <c r="G87" s="519"/>
      <c r="H87" s="519"/>
      <c r="I87" s="519"/>
      <c r="O87" s="519"/>
      <c r="P87" s="519"/>
      <c r="Q87" s="519"/>
      <c r="R87" s="519"/>
      <c r="S87" s="519"/>
      <c r="T87" s="519"/>
      <c r="U87" s="519"/>
      <c r="V87" s="519"/>
      <c r="W87" s="519"/>
      <c r="X87" s="519"/>
      <c r="Y87" s="519"/>
      <c r="Z87" s="519"/>
      <c r="AA87" s="519"/>
      <c r="AB87" s="519"/>
      <c r="AC87" s="519"/>
      <c r="AD87" s="519"/>
    </row>
    <row r="88" spans="3:30" s="1" customFormat="1" x14ac:dyDescent="0.25">
      <c r="E88" s="2"/>
      <c r="G88" s="519"/>
      <c r="H88" s="519"/>
      <c r="I88" s="519"/>
      <c r="O88" s="519"/>
      <c r="P88" s="519"/>
      <c r="Q88" s="519"/>
      <c r="R88" s="519"/>
      <c r="S88" s="519"/>
      <c r="T88" s="519"/>
      <c r="U88" s="519"/>
      <c r="V88" s="519"/>
      <c r="W88" s="519"/>
      <c r="X88" s="519"/>
      <c r="Y88" s="519"/>
      <c r="Z88" s="519"/>
      <c r="AA88" s="519"/>
      <c r="AB88" s="519"/>
      <c r="AC88" s="519"/>
      <c r="AD88" s="519"/>
    </row>
    <row r="89" spans="3:30" s="1" customFormat="1" x14ac:dyDescent="0.25">
      <c r="E89" s="2"/>
      <c r="G89" s="519"/>
      <c r="H89" s="519"/>
      <c r="I89" s="519"/>
      <c r="O89" s="519"/>
      <c r="P89" s="519"/>
      <c r="Q89" s="519"/>
      <c r="R89" s="519"/>
      <c r="S89" s="519"/>
      <c r="T89" s="519"/>
      <c r="U89" s="519"/>
      <c r="V89" s="519"/>
      <c r="W89" s="519"/>
      <c r="X89" s="519"/>
      <c r="Y89" s="519"/>
      <c r="Z89" s="519"/>
      <c r="AA89" s="519"/>
      <c r="AB89" s="519"/>
      <c r="AC89" s="519"/>
      <c r="AD89" s="519"/>
    </row>
    <row r="90" spans="3:30" s="1" customFormat="1" x14ac:dyDescent="0.25">
      <c r="E90" s="2"/>
      <c r="G90" s="519"/>
      <c r="H90" s="519"/>
      <c r="I90" s="519"/>
      <c r="O90" s="519"/>
      <c r="P90" s="519"/>
      <c r="Q90" s="519"/>
      <c r="R90" s="519"/>
      <c r="S90" s="519"/>
      <c r="T90" s="519"/>
      <c r="U90" s="519"/>
      <c r="V90" s="519"/>
      <c r="W90" s="519"/>
      <c r="X90" s="519"/>
      <c r="Y90" s="519"/>
      <c r="Z90" s="519"/>
      <c r="AA90" s="519"/>
      <c r="AB90" s="519"/>
      <c r="AC90" s="519"/>
      <c r="AD90" s="519"/>
    </row>
    <row r="91" spans="3:30" s="1" customFormat="1" x14ac:dyDescent="0.25">
      <c r="E91" s="2"/>
      <c r="G91" s="519"/>
      <c r="H91" s="519"/>
      <c r="I91" s="519"/>
      <c r="O91" s="519"/>
      <c r="P91" s="519"/>
      <c r="Q91" s="519"/>
      <c r="R91" s="519"/>
      <c r="S91" s="519"/>
      <c r="T91" s="519"/>
      <c r="U91" s="519"/>
      <c r="V91" s="519"/>
      <c r="W91" s="519"/>
      <c r="X91" s="519"/>
      <c r="Y91" s="519"/>
      <c r="Z91" s="519"/>
      <c r="AA91" s="519"/>
      <c r="AB91" s="519"/>
      <c r="AC91" s="519"/>
      <c r="AD91" s="519"/>
    </row>
    <row r="92" spans="3:30" s="1" customFormat="1" x14ac:dyDescent="0.25">
      <c r="E92" s="2"/>
      <c r="G92" s="519"/>
      <c r="H92" s="519"/>
      <c r="I92" s="519"/>
      <c r="O92" s="519"/>
      <c r="P92" s="519"/>
      <c r="Q92" s="519"/>
      <c r="R92" s="519"/>
      <c r="S92" s="519"/>
      <c r="T92" s="519"/>
      <c r="U92" s="519"/>
      <c r="V92" s="519"/>
      <c r="W92" s="519"/>
      <c r="X92" s="519"/>
      <c r="Y92" s="519"/>
      <c r="Z92" s="519"/>
      <c r="AA92" s="519"/>
      <c r="AB92" s="519"/>
      <c r="AC92" s="519"/>
      <c r="AD92" s="519"/>
    </row>
    <row r="93" spans="3:30" s="1" customFormat="1" x14ac:dyDescent="0.25">
      <c r="E93" s="2"/>
      <c r="G93" s="519"/>
      <c r="H93" s="519"/>
      <c r="I93" s="519"/>
      <c r="O93" s="519"/>
      <c r="P93" s="519"/>
      <c r="Q93" s="519"/>
      <c r="R93" s="519"/>
      <c r="S93" s="519"/>
      <c r="T93" s="519"/>
      <c r="U93" s="519"/>
      <c r="V93" s="519"/>
      <c r="W93" s="519"/>
      <c r="X93" s="519"/>
      <c r="Y93" s="519"/>
      <c r="Z93" s="519"/>
      <c r="AA93" s="519"/>
      <c r="AB93" s="519"/>
      <c r="AC93" s="519"/>
      <c r="AD93" s="519"/>
    </row>
    <row r="94" spans="3:30" s="1" customFormat="1" x14ac:dyDescent="0.25">
      <c r="E94" s="2"/>
      <c r="G94" s="519"/>
      <c r="H94" s="519"/>
      <c r="I94" s="519"/>
      <c r="O94" s="519"/>
      <c r="P94" s="519"/>
      <c r="Q94" s="519"/>
      <c r="R94" s="519"/>
      <c r="S94" s="519"/>
      <c r="T94" s="519"/>
      <c r="U94" s="519"/>
      <c r="V94" s="519"/>
      <c r="W94" s="519"/>
      <c r="X94" s="519"/>
      <c r="Y94" s="519"/>
      <c r="Z94" s="519"/>
      <c r="AA94" s="519"/>
      <c r="AB94" s="519"/>
      <c r="AC94" s="519"/>
      <c r="AD94" s="519"/>
    </row>
    <row r="95" spans="3:30" s="1" customFormat="1" x14ac:dyDescent="0.25">
      <c r="E95" s="2"/>
      <c r="G95" s="519"/>
      <c r="H95" s="519"/>
      <c r="I95" s="519"/>
      <c r="O95" s="519"/>
      <c r="P95" s="519"/>
      <c r="Q95" s="519"/>
      <c r="R95" s="519"/>
      <c r="S95" s="519"/>
      <c r="T95" s="519"/>
      <c r="U95" s="519"/>
      <c r="V95" s="519"/>
      <c r="W95" s="519"/>
      <c r="X95" s="519"/>
      <c r="Y95" s="519"/>
      <c r="Z95" s="519"/>
      <c r="AA95" s="519"/>
      <c r="AB95" s="519"/>
      <c r="AC95" s="519"/>
      <c r="AD95" s="519"/>
    </row>
    <row r="96" spans="3:30" s="1" customFormat="1" x14ac:dyDescent="0.25">
      <c r="E96" s="2"/>
      <c r="G96" s="519"/>
      <c r="H96" s="519"/>
      <c r="I96" s="519"/>
      <c r="O96" s="519"/>
      <c r="P96" s="519"/>
      <c r="Q96" s="519"/>
      <c r="R96" s="519"/>
      <c r="S96" s="519"/>
      <c r="T96" s="519"/>
      <c r="U96" s="519"/>
      <c r="V96" s="519"/>
      <c r="W96" s="519"/>
      <c r="X96" s="519"/>
      <c r="Y96" s="519"/>
      <c r="Z96" s="519"/>
      <c r="AA96" s="519"/>
      <c r="AB96" s="519"/>
      <c r="AC96" s="519"/>
      <c r="AD96" s="519"/>
    </row>
    <row r="97" spans="5:30" s="1" customFormat="1" x14ac:dyDescent="0.25">
      <c r="E97" s="2"/>
      <c r="G97" s="519"/>
      <c r="H97" s="519"/>
      <c r="I97" s="519"/>
      <c r="O97" s="519"/>
      <c r="P97" s="519"/>
      <c r="Q97" s="519"/>
      <c r="R97" s="519"/>
      <c r="S97" s="519"/>
      <c r="T97" s="519"/>
      <c r="U97" s="519"/>
      <c r="V97" s="519"/>
      <c r="W97" s="519"/>
      <c r="X97" s="519"/>
      <c r="Y97" s="519"/>
      <c r="Z97" s="519"/>
      <c r="AA97" s="519"/>
      <c r="AB97" s="519"/>
      <c r="AC97" s="519"/>
      <c r="AD97" s="519"/>
    </row>
    <row r="98" spans="5:30" s="1" customFormat="1" x14ac:dyDescent="0.25">
      <c r="E98" s="2"/>
      <c r="G98" s="519"/>
      <c r="H98" s="519"/>
      <c r="I98" s="519"/>
      <c r="O98" s="519"/>
      <c r="P98" s="519"/>
      <c r="Q98" s="519"/>
      <c r="R98" s="519"/>
      <c r="S98" s="519"/>
      <c r="T98" s="519"/>
      <c r="U98" s="519"/>
      <c r="V98" s="519"/>
      <c r="W98" s="519"/>
      <c r="X98" s="519"/>
      <c r="Y98" s="519"/>
      <c r="Z98" s="519"/>
      <c r="AA98" s="519"/>
      <c r="AB98" s="519"/>
      <c r="AC98" s="519"/>
      <c r="AD98" s="519"/>
    </row>
    <row r="99" spans="5:30" s="1" customFormat="1" x14ac:dyDescent="0.25">
      <c r="E99" s="2"/>
      <c r="G99" s="519"/>
      <c r="H99" s="519"/>
      <c r="I99" s="519"/>
      <c r="O99" s="519"/>
      <c r="P99" s="519"/>
      <c r="Q99" s="519"/>
      <c r="R99" s="519"/>
      <c r="S99" s="519"/>
      <c r="T99" s="519"/>
      <c r="U99" s="519"/>
      <c r="V99" s="519"/>
      <c r="W99" s="519"/>
      <c r="X99" s="519"/>
      <c r="Y99" s="519"/>
      <c r="Z99" s="519"/>
      <c r="AA99" s="519"/>
      <c r="AB99" s="519"/>
      <c r="AC99" s="519"/>
      <c r="AD99" s="519"/>
    </row>
    <row r="100" spans="5:30" s="1" customFormat="1" x14ac:dyDescent="0.25">
      <c r="E100" s="2"/>
      <c r="G100" s="519"/>
      <c r="H100" s="519"/>
      <c r="I100" s="519"/>
      <c r="O100" s="519"/>
      <c r="P100" s="519"/>
      <c r="Q100" s="519"/>
      <c r="R100" s="519"/>
      <c r="S100" s="519"/>
      <c r="T100" s="519"/>
      <c r="U100" s="519"/>
      <c r="V100" s="519"/>
      <c r="W100" s="519"/>
      <c r="X100" s="519"/>
      <c r="Y100" s="519"/>
      <c r="Z100" s="519"/>
      <c r="AA100" s="519"/>
      <c r="AB100" s="519"/>
      <c r="AC100" s="519"/>
      <c r="AD100" s="519"/>
    </row>
    <row r="101" spans="5:30" s="1" customFormat="1" x14ac:dyDescent="0.25">
      <c r="E101" s="2"/>
      <c r="G101" s="519"/>
      <c r="H101" s="519"/>
      <c r="I101" s="519"/>
      <c r="O101" s="519"/>
      <c r="P101" s="519"/>
      <c r="Q101" s="519"/>
      <c r="R101" s="519"/>
      <c r="S101" s="519"/>
      <c r="T101" s="519"/>
      <c r="U101" s="519"/>
      <c r="V101" s="519"/>
      <c r="W101" s="519"/>
      <c r="X101" s="519"/>
      <c r="Y101" s="519"/>
      <c r="Z101" s="519"/>
      <c r="AA101" s="519"/>
      <c r="AB101" s="519"/>
      <c r="AC101" s="519"/>
      <c r="AD101" s="519"/>
    </row>
    <row r="102" spans="5:30" s="1" customFormat="1" x14ac:dyDescent="0.25">
      <c r="E102" s="2"/>
      <c r="G102" s="519"/>
      <c r="H102" s="519"/>
      <c r="I102" s="519"/>
      <c r="O102" s="519"/>
      <c r="P102" s="519"/>
      <c r="Q102" s="519"/>
      <c r="R102" s="519"/>
      <c r="S102" s="519"/>
      <c r="T102" s="519"/>
      <c r="U102" s="519"/>
      <c r="V102" s="519"/>
      <c r="W102" s="519"/>
      <c r="X102" s="519"/>
      <c r="Y102" s="519"/>
      <c r="Z102" s="519"/>
      <c r="AA102" s="519"/>
      <c r="AB102" s="519"/>
      <c r="AC102" s="519"/>
      <c r="AD102" s="519"/>
    </row>
    <row r="103" spans="5:30" s="1" customFormat="1" x14ac:dyDescent="0.25">
      <c r="E103" s="2"/>
      <c r="G103" s="519"/>
      <c r="H103" s="519"/>
      <c r="I103" s="519"/>
      <c r="O103" s="519"/>
      <c r="P103" s="519"/>
      <c r="Q103" s="519"/>
      <c r="R103" s="519"/>
      <c r="S103" s="519"/>
      <c r="T103" s="519"/>
      <c r="U103" s="519"/>
      <c r="V103" s="519"/>
      <c r="W103" s="519"/>
      <c r="X103" s="519"/>
      <c r="Y103" s="519"/>
      <c r="Z103" s="519"/>
      <c r="AA103" s="519"/>
      <c r="AB103" s="519"/>
      <c r="AC103" s="519"/>
      <c r="AD103" s="519"/>
    </row>
    <row r="104" spans="5:30" s="1" customFormat="1" x14ac:dyDescent="0.25">
      <c r="E104" s="2"/>
      <c r="G104" s="519"/>
      <c r="H104" s="519"/>
      <c r="I104" s="519"/>
      <c r="O104" s="519"/>
      <c r="P104" s="519"/>
      <c r="Q104" s="519"/>
      <c r="R104" s="519"/>
      <c r="S104" s="519"/>
      <c r="T104" s="519"/>
      <c r="U104" s="519"/>
      <c r="V104" s="519"/>
      <c r="W104" s="519"/>
      <c r="X104" s="519"/>
      <c r="Y104" s="519"/>
      <c r="Z104" s="519"/>
      <c r="AA104" s="519"/>
      <c r="AB104" s="519"/>
      <c r="AC104" s="519"/>
      <c r="AD104" s="519"/>
    </row>
    <row r="105" spans="5:30" s="1" customFormat="1" x14ac:dyDescent="0.25">
      <c r="E105" s="2"/>
      <c r="G105" s="519"/>
      <c r="H105" s="519"/>
      <c r="I105" s="519"/>
      <c r="O105" s="519"/>
      <c r="P105" s="519"/>
      <c r="Q105" s="519"/>
      <c r="R105" s="519"/>
      <c r="S105" s="519"/>
      <c r="T105" s="519"/>
      <c r="U105" s="519"/>
      <c r="V105" s="519"/>
      <c r="W105" s="519"/>
      <c r="X105" s="519"/>
      <c r="Y105" s="519"/>
      <c r="Z105" s="519"/>
      <c r="AA105" s="519"/>
      <c r="AB105" s="519"/>
      <c r="AC105" s="519"/>
      <c r="AD105" s="519"/>
    </row>
    <row r="106" spans="5:30" s="1" customFormat="1" x14ac:dyDescent="0.25">
      <c r="E106" s="2"/>
      <c r="G106" s="519"/>
      <c r="H106" s="519"/>
      <c r="I106" s="519"/>
      <c r="O106" s="519"/>
      <c r="P106" s="519"/>
      <c r="Q106" s="519"/>
      <c r="R106" s="519"/>
      <c r="S106" s="519"/>
      <c r="T106" s="519"/>
      <c r="U106" s="519"/>
      <c r="V106" s="519"/>
      <c r="W106" s="519"/>
      <c r="X106" s="519"/>
      <c r="Y106" s="519"/>
      <c r="Z106" s="519"/>
      <c r="AA106" s="519"/>
      <c r="AB106" s="519"/>
      <c r="AC106" s="519"/>
      <c r="AD106" s="519"/>
    </row>
    <row r="107" spans="5:30" s="1" customFormat="1" x14ac:dyDescent="0.25">
      <c r="E107" s="2"/>
      <c r="G107" s="519"/>
      <c r="H107" s="519"/>
      <c r="I107" s="519"/>
      <c r="O107" s="519"/>
      <c r="P107" s="519"/>
      <c r="Q107" s="519"/>
      <c r="R107" s="519"/>
      <c r="S107" s="519"/>
      <c r="T107" s="519"/>
      <c r="U107" s="519"/>
      <c r="V107" s="519"/>
      <c r="W107" s="519"/>
      <c r="X107" s="519"/>
      <c r="Y107" s="519"/>
      <c r="Z107" s="519"/>
      <c r="AA107" s="519"/>
      <c r="AB107" s="519"/>
      <c r="AC107" s="519"/>
      <c r="AD107" s="519"/>
    </row>
    <row r="108" spans="5:30" s="1" customFormat="1" x14ac:dyDescent="0.25">
      <c r="E108" s="2"/>
      <c r="G108" s="519"/>
      <c r="H108" s="519"/>
      <c r="I108" s="519"/>
      <c r="O108" s="519"/>
      <c r="P108" s="519"/>
      <c r="Q108" s="519"/>
      <c r="R108" s="519"/>
      <c r="S108" s="519"/>
      <c r="T108" s="519"/>
      <c r="U108" s="519"/>
      <c r="V108" s="519"/>
      <c r="W108" s="519"/>
      <c r="X108" s="519"/>
      <c r="Y108" s="519"/>
      <c r="Z108" s="519"/>
      <c r="AA108" s="519"/>
      <c r="AB108" s="519"/>
      <c r="AC108" s="519"/>
      <c r="AD108" s="519"/>
    </row>
    <row r="109" spans="5:30" s="1" customFormat="1" x14ac:dyDescent="0.25">
      <c r="E109" s="2"/>
      <c r="G109" s="519"/>
      <c r="H109" s="519"/>
      <c r="I109" s="519"/>
      <c r="O109" s="519"/>
      <c r="P109" s="519"/>
      <c r="Q109" s="519"/>
      <c r="R109" s="519"/>
      <c r="S109" s="519"/>
      <c r="T109" s="519"/>
      <c r="U109" s="519"/>
      <c r="V109" s="519"/>
      <c r="W109" s="519"/>
      <c r="X109" s="519"/>
      <c r="Y109" s="519"/>
      <c r="Z109" s="519"/>
      <c r="AA109" s="519"/>
      <c r="AB109" s="519"/>
      <c r="AC109" s="519"/>
      <c r="AD109" s="519"/>
    </row>
    <row r="110" spans="5:30" s="1" customFormat="1" x14ac:dyDescent="0.25">
      <c r="E110" s="2"/>
      <c r="G110" s="519"/>
      <c r="H110" s="519"/>
      <c r="I110" s="519"/>
      <c r="O110" s="519"/>
      <c r="P110" s="519"/>
      <c r="Q110" s="519"/>
      <c r="R110" s="519"/>
      <c r="S110" s="519"/>
      <c r="T110" s="519"/>
      <c r="U110" s="519"/>
      <c r="V110" s="519"/>
      <c r="W110" s="519"/>
      <c r="X110" s="519"/>
      <c r="Y110" s="519"/>
      <c r="Z110" s="519"/>
      <c r="AA110" s="519"/>
      <c r="AB110" s="519"/>
      <c r="AC110" s="519"/>
      <c r="AD110" s="519"/>
    </row>
    <row r="111" spans="5:30" s="1" customFormat="1" x14ac:dyDescent="0.25">
      <c r="E111" s="2"/>
      <c r="G111" s="519"/>
      <c r="H111" s="519"/>
      <c r="I111" s="519"/>
      <c r="O111" s="519"/>
      <c r="P111" s="519"/>
      <c r="Q111" s="519"/>
      <c r="R111" s="519"/>
      <c r="S111" s="519"/>
      <c r="T111" s="519"/>
      <c r="U111" s="519"/>
      <c r="V111" s="519"/>
      <c r="W111" s="519"/>
      <c r="X111" s="519"/>
      <c r="Y111" s="519"/>
      <c r="Z111" s="519"/>
      <c r="AA111" s="519"/>
      <c r="AB111" s="519"/>
      <c r="AC111" s="519"/>
      <c r="AD111" s="519"/>
    </row>
    <row r="112" spans="5:30" s="1" customFormat="1" x14ac:dyDescent="0.25">
      <c r="E112" s="2"/>
      <c r="G112" s="519"/>
      <c r="H112" s="519"/>
      <c r="I112" s="519"/>
      <c r="O112" s="519"/>
      <c r="P112" s="519"/>
      <c r="Q112" s="519"/>
      <c r="R112" s="519"/>
      <c r="S112" s="519"/>
      <c r="T112" s="519"/>
      <c r="U112" s="519"/>
      <c r="V112" s="519"/>
      <c r="W112" s="519"/>
      <c r="X112" s="519"/>
      <c r="Y112" s="519"/>
      <c r="Z112" s="519"/>
      <c r="AA112" s="519"/>
      <c r="AB112" s="519"/>
      <c r="AC112" s="519"/>
      <c r="AD112" s="519"/>
    </row>
    <row r="113" spans="5:30" s="1" customFormat="1" x14ac:dyDescent="0.25">
      <c r="E113" s="2"/>
      <c r="G113" s="519"/>
      <c r="H113" s="519"/>
      <c r="I113" s="519"/>
      <c r="O113" s="519"/>
      <c r="P113" s="519"/>
      <c r="Q113" s="519"/>
      <c r="R113" s="519"/>
      <c r="S113" s="519"/>
      <c r="T113" s="519"/>
      <c r="U113" s="519"/>
      <c r="V113" s="519"/>
      <c r="W113" s="519"/>
      <c r="X113" s="519"/>
      <c r="Y113" s="519"/>
      <c r="Z113" s="519"/>
      <c r="AA113" s="519"/>
      <c r="AB113" s="519"/>
      <c r="AC113" s="519"/>
      <c r="AD113" s="519"/>
    </row>
    <row r="114" spans="5:30" s="1" customFormat="1" x14ac:dyDescent="0.25">
      <c r="E114" s="2"/>
      <c r="G114" s="519"/>
      <c r="H114" s="519"/>
      <c r="I114" s="519"/>
      <c r="O114" s="519"/>
      <c r="P114" s="519"/>
      <c r="Q114" s="519"/>
      <c r="R114" s="519"/>
      <c r="S114" s="519"/>
      <c r="T114" s="519"/>
      <c r="U114" s="519"/>
      <c r="V114" s="519"/>
      <c r="W114" s="519"/>
      <c r="X114" s="519"/>
      <c r="Y114" s="519"/>
      <c r="Z114" s="519"/>
      <c r="AA114" s="519"/>
      <c r="AB114" s="519"/>
      <c r="AC114" s="519"/>
      <c r="AD114" s="519"/>
    </row>
    <row r="115" spans="5:30" s="1" customFormat="1" x14ac:dyDescent="0.25">
      <c r="E115" s="2"/>
      <c r="G115" s="519"/>
      <c r="H115" s="519"/>
      <c r="I115" s="519"/>
      <c r="O115" s="519"/>
      <c r="P115" s="519"/>
      <c r="Q115" s="519"/>
      <c r="R115" s="519"/>
      <c r="S115" s="519"/>
      <c r="T115" s="519"/>
      <c r="U115" s="519"/>
      <c r="V115" s="519"/>
      <c r="W115" s="519"/>
      <c r="X115" s="519"/>
      <c r="Y115" s="519"/>
      <c r="Z115" s="519"/>
      <c r="AA115" s="519"/>
      <c r="AB115" s="519"/>
      <c r="AC115" s="519"/>
      <c r="AD115" s="519"/>
    </row>
    <row r="116" spans="5:30" s="1" customFormat="1" x14ac:dyDescent="0.25">
      <c r="E116" s="2"/>
      <c r="G116" s="519"/>
      <c r="H116" s="519"/>
      <c r="I116" s="519"/>
      <c r="O116" s="519"/>
      <c r="P116" s="519"/>
      <c r="Q116" s="519"/>
      <c r="R116" s="519"/>
      <c r="S116" s="519"/>
      <c r="T116" s="519"/>
      <c r="U116" s="519"/>
      <c r="V116" s="519"/>
      <c r="W116" s="519"/>
      <c r="X116" s="519"/>
      <c r="Y116" s="519"/>
      <c r="Z116" s="519"/>
      <c r="AA116" s="519"/>
      <c r="AB116" s="519"/>
      <c r="AC116" s="519"/>
      <c r="AD116" s="519"/>
    </row>
    <row r="117" spans="5:30" s="1" customFormat="1" x14ac:dyDescent="0.25">
      <c r="E117" s="2"/>
      <c r="G117" s="519"/>
      <c r="H117" s="519"/>
      <c r="I117" s="519"/>
      <c r="O117" s="519"/>
      <c r="P117" s="519"/>
      <c r="Q117" s="519"/>
      <c r="R117" s="519"/>
      <c r="S117" s="519"/>
      <c r="T117" s="519"/>
      <c r="U117" s="519"/>
      <c r="V117" s="519"/>
      <c r="W117" s="519"/>
      <c r="X117" s="519"/>
      <c r="Y117" s="519"/>
      <c r="Z117" s="519"/>
      <c r="AA117" s="519"/>
      <c r="AB117" s="519"/>
      <c r="AC117" s="519"/>
      <c r="AD117" s="519"/>
    </row>
    <row r="118" spans="5:30" s="1" customFormat="1" x14ac:dyDescent="0.25">
      <c r="E118" s="2"/>
      <c r="G118" s="519"/>
      <c r="H118" s="519"/>
      <c r="I118" s="519"/>
      <c r="O118" s="519"/>
      <c r="P118" s="519"/>
      <c r="Q118" s="519"/>
      <c r="R118" s="519"/>
      <c r="S118" s="519"/>
      <c r="T118" s="519"/>
      <c r="U118" s="519"/>
      <c r="V118" s="519"/>
      <c r="W118" s="519"/>
      <c r="X118" s="519"/>
      <c r="Y118" s="519"/>
      <c r="Z118" s="519"/>
      <c r="AA118" s="519"/>
      <c r="AB118" s="519"/>
      <c r="AC118" s="519"/>
      <c r="AD118" s="519"/>
    </row>
    <row r="119" spans="5:30" s="1" customFormat="1" x14ac:dyDescent="0.25">
      <c r="E119" s="2"/>
      <c r="G119" s="519"/>
      <c r="H119" s="519"/>
      <c r="I119" s="519"/>
      <c r="O119" s="519"/>
      <c r="P119" s="519"/>
      <c r="Q119" s="519"/>
      <c r="R119" s="519"/>
      <c r="S119" s="519"/>
      <c r="T119" s="519"/>
      <c r="U119" s="519"/>
      <c r="V119" s="519"/>
      <c r="W119" s="519"/>
      <c r="X119" s="519"/>
      <c r="Y119" s="519"/>
      <c r="Z119" s="519"/>
      <c r="AA119" s="519"/>
      <c r="AB119" s="519"/>
      <c r="AC119" s="519"/>
      <c r="AD119" s="519"/>
    </row>
    <row r="120" spans="5:30" s="1" customFormat="1" x14ac:dyDescent="0.25">
      <c r="E120" s="2"/>
      <c r="G120" s="519"/>
      <c r="H120" s="519"/>
      <c r="I120" s="519"/>
      <c r="O120" s="519"/>
      <c r="P120" s="519"/>
      <c r="Q120" s="519"/>
      <c r="R120" s="519"/>
      <c r="S120" s="519"/>
      <c r="T120" s="519"/>
      <c r="U120" s="519"/>
      <c r="V120" s="519"/>
      <c r="W120" s="519"/>
      <c r="X120" s="519"/>
      <c r="Y120" s="519"/>
      <c r="Z120" s="519"/>
      <c r="AA120" s="519"/>
      <c r="AB120" s="519"/>
      <c r="AC120" s="519"/>
      <c r="AD120" s="519"/>
    </row>
    <row r="121" spans="5:30" s="1" customFormat="1" x14ac:dyDescent="0.25">
      <c r="E121" s="2"/>
      <c r="G121" s="519"/>
      <c r="H121" s="519"/>
      <c r="I121" s="519"/>
      <c r="O121" s="519"/>
      <c r="P121" s="519"/>
      <c r="Q121" s="519"/>
      <c r="R121" s="519"/>
      <c r="S121" s="519"/>
      <c r="T121" s="519"/>
      <c r="U121" s="519"/>
      <c r="V121" s="519"/>
      <c r="W121" s="519"/>
      <c r="X121" s="519"/>
      <c r="Y121" s="519"/>
      <c r="Z121" s="519"/>
      <c r="AA121" s="519"/>
      <c r="AB121" s="519"/>
      <c r="AC121" s="519"/>
      <c r="AD121" s="519"/>
    </row>
    <row r="122" spans="5:30" s="1" customFormat="1" x14ac:dyDescent="0.25">
      <c r="E122" s="2"/>
      <c r="G122" s="519"/>
      <c r="H122" s="519"/>
      <c r="I122" s="519"/>
      <c r="O122" s="519"/>
      <c r="P122" s="519"/>
      <c r="Q122" s="519"/>
      <c r="R122" s="519"/>
      <c r="S122" s="519"/>
      <c r="T122" s="519"/>
      <c r="U122" s="519"/>
      <c r="V122" s="519"/>
      <c r="W122" s="519"/>
      <c r="X122" s="519"/>
      <c r="Y122" s="519"/>
      <c r="Z122" s="519"/>
      <c r="AA122" s="519"/>
      <c r="AB122" s="519"/>
      <c r="AC122" s="519"/>
      <c r="AD122" s="519"/>
    </row>
    <row r="123" spans="5:30" s="1" customFormat="1" x14ac:dyDescent="0.25">
      <c r="E123" s="2"/>
      <c r="G123" s="519"/>
      <c r="H123" s="519"/>
      <c r="I123" s="519"/>
      <c r="O123" s="519"/>
      <c r="P123" s="519"/>
      <c r="Q123" s="519"/>
      <c r="R123" s="519"/>
      <c r="S123" s="519"/>
      <c r="T123" s="519"/>
      <c r="U123" s="519"/>
      <c r="V123" s="519"/>
      <c r="W123" s="519"/>
      <c r="X123" s="519"/>
      <c r="Y123" s="519"/>
      <c r="Z123" s="519"/>
      <c r="AA123" s="519"/>
      <c r="AB123" s="519"/>
      <c r="AC123" s="519"/>
      <c r="AD123" s="519"/>
    </row>
    <row r="124" spans="5:30" s="1" customFormat="1" x14ac:dyDescent="0.25">
      <c r="E124" s="2"/>
      <c r="G124" s="519"/>
      <c r="H124" s="519"/>
      <c r="I124" s="519"/>
      <c r="O124" s="519"/>
      <c r="P124" s="519"/>
      <c r="Q124" s="519"/>
      <c r="R124" s="519"/>
      <c r="S124" s="519"/>
      <c r="T124" s="519"/>
      <c r="U124" s="519"/>
      <c r="V124" s="519"/>
      <c r="W124" s="519"/>
      <c r="X124" s="519"/>
      <c r="Y124" s="519"/>
      <c r="Z124" s="519"/>
      <c r="AA124" s="519"/>
      <c r="AB124" s="519"/>
      <c r="AC124" s="519"/>
      <c r="AD124" s="519"/>
    </row>
    <row r="125" spans="5:30" s="1" customFormat="1" x14ac:dyDescent="0.25">
      <c r="E125" s="2"/>
      <c r="G125" s="519"/>
      <c r="H125" s="519"/>
      <c r="I125" s="519"/>
      <c r="O125" s="519"/>
      <c r="P125" s="519"/>
      <c r="Q125" s="519"/>
      <c r="R125" s="519"/>
      <c r="S125" s="519"/>
      <c r="T125" s="519"/>
      <c r="U125" s="519"/>
      <c r="V125" s="519"/>
      <c r="W125" s="519"/>
      <c r="X125" s="519"/>
      <c r="Y125" s="519"/>
      <c r="Z125" s="519"/>
      <c r="AA125" s="519"/>
      <c r="AB125" s="519"/>
      <c r="AC125" s="519"/>
      <c r="AD125" s="519"/>
    </row>
    <row r="126" spans="5:30" s="1" customFormat="1" x14ac:dyDescent="0.25">
      <c r="E126" s="2"/>
      <c r="G126" s="519"/>
      <c r="H126" s="519"/>
      <c r="I126" s="519"/>
      <c r="O126" s="519"/>
      <c r="P126" s="519"/>
      <c r="Q126" s="519"/>
      <c r="R126" s="519"/>
      <c r="S126" s="519"/>
      <c r="T126" s="519"/>
      <c r="U126" s="519"/>
      <c r="V126" s="519"/>
      <c r="W126" s="519"/>
      <c r="X126" s="519"/>
      <c r="Y126" s="519"/>
      <c r="Z126" s="519"/>
      <c r="AA126" s="519"/>
      <c r="AB126" s="519"/>
      <c r="AC126" s="519"/>
      <c r="AD126" s="519"/>
    </row>
    <row r="127" spans="5:30" s="1" customFormat="1" x14ac:dyDescent="0.25">
      <c r="E127" s="2"/>
      <c r="G127" s="519"/>
      <c r="H127" s="519"/>
      <c r="I127" s="519"/>
      <c r="O127" s="519"/>
      <c r="P127" s="519"/>
      <c r="Q127" s="519"/>
      <c r="R127" s="519"/>
      <c r="S127" s="519"/>
      <c r="T127" s="519"/>
      <c r="U127" s="519"/>
      <c r="V127" s="519"/>
      <c r="W127" s="519"/>
      <c r="X127" s="519"/>
      <c r="Y127" s="519"/>
      <c r="Z127" s="519"/>
      <c r="AA127" s="519"/>
      <c r="AB127" s="519"/>
      <c r="AC127" s="519"/>
      <c r="AD127" s="519"/>
    </row>
    <row r="128" spans="5:30" s="1" customFormat="1" x14ac:dyDescent="0.25">
      <c r="E128" s="2"/>
      <c r="G128" s="519"/>
      <c r="H128" s="519"/>
      <c r="I128" s="519"/>
      <c r="O128" s="519"/>
      <c r="P128" s="519"/>
      <c r="Q128" s="519"/>
      <c r="R128" s="519"/>
      <c r="S128" s="519"/>
      <c r="T128" s="519"/>
      <c r="U128" s="519"/>
      <c r="V128" s="519"/>
      <c r="W128" s="519"/>
      <c r="X128" s="519"/>
      <c r="Y128" s="519"/>
      <c r="Z128" s="519"/>
      <c r="AA128" s="519"/>
      <c r="AB128" s="519"/>
      <c r="AC128" s="519"/>
      <c r="AD128" s="519"/>
    </row>
    <row r="129" spans="5:30" s="1" customFormat="1" x14ac:dyDescent="0.25">
      <c r="E129" s="2"/>
      <c r="G129" s="519"/>
      <c r="H129" s="519"/>
      <c r="I129" s="519"/>
      <c r="O129" s="519"/>
      <c r="P129" s="519"/>
      <c r="Q129" s="519"/>
      <c r="R129" s="519"/>
      <c r="S129" s="519"/>
      <c r="T129" s="519"/>
      <c r="U129" s="519"/>
      <c r="V129" s="519"/>
      <c r="W129" s="519"/>
      <c r="X129" s="519"/>
      <c r="Y129" s="519"/>
      <c r="Z129" s="519"/>
      <c r="AA129" s="519"/>
      <c r="AB129" s="519"/>
      <c r="AC129" s="519"/>
      <c r="AD129" s="519"/>
    </row>
    <row r="130" spans="5:30" s="1" customFormat="1" x14ac:dyDescent="0.25">
      <c r="E130" s="2"/>
      <c r="G130" s="519"/>
      <c r="H130" s="519"/>
      <c r="I130" s="519"/>
      <c r="O130" s="519"/>
      <c r="P130" s="519"/>
      <c r="Q130" s="519"/>
      <c r="R130" s="519"/>
      <c r="S130" s="519"/>
      <c r="T130" s="519"/>
      <c r="U130" s="519"/>
      <c r="V130" s="519"/>
      <c r="W130" s="519"/>
      <c r="X130" s="519"/>
      <c r="Y130" s="519"/>
      <c r="Z130" s="519"/>
      <c r="AA130" s="519"/>
      <c r="AB130" s="519"/>
      <c r="AC130" s="519"/>
      <c r="AD130" s="519"/>
    </row>
    <row r="131" spans="5:30" s="1" customFormat="1" x14ac:dyDescent="0.25">
      <c r="E131" s="2"/>
      <c r="G131" s="519"/>
      <c r="H131" s="519"/>
      <c r="I131" s="519"/>
      <c r="O131" s="519"/>
      <c r="P131" s="519"/>
      <c r="Q131" s="519"/>
      <c r="R131" s="519"/>
      <c r="S131" s="519"/>
      <c r="T131" s="519"/>
      <c r="U131" s="519"/>
      <c r="V131" s="519"/>
      <c r="W131" s="519"/>
      <c r="X131" s="519"/>
      <c r="Y131" s="519"/>
      <c r="Z131" s="519"/>
      <c r="AA131" s="519"/>
      <c r="AB131" s="519"/>
      <c r="AC131" s="519"/>
      <c r="AD131" s="519"/>
    </row>
    <row r="132" spans="5:30" s="1" customFormat="1" x14ac:dyDescent="0.25">
      <c r="E132" s="2"/>
      <c r="G132" s="519"/>
      <c r="H132" s="519"/>
      <c r="I132" s="519"/>
      <c r="O132" s="519"/>
      <c r="P132" s="519"/>
      <c r="Q132" s="519"/>
      <c r="R132" s="519"/>
      <c r="S132" s="519"/>
      <c r="T132" s="519"/>
      <c r="U132" s="519"/>
      <c r="V132" s="519"/>
      <c r="W132" s="519"/>
      <c r="X132" s="519"/>
      <c r="Y132" s="519"/>
      <c r="Z132" s="519"/>
      <c r="AA132" s="519"/>
      <c r="AB132" s="519"/>
      <c r="AC132" s="519"/>
      <c r="AD132" s="519"/>
    </row>
    <row r="133" spans="5:30" s="1" customFormat="1" x14ac:dyDescent="0.25">
      <c r="E133" s="2"/>
      <c r="G133" s="519"/>
      <c r="H133" s="519"/>
      <c r="I133" s="519"/>
      <c r="O133" s="519"/>
      <c r="P133" s="519"/>
      <c r="Q133" s="519"/>
      <c r="R133" s="519"/>
      <c r="S133" s="519"/>
      <c r="T133" s="519"/>
      <c r="U133" s="519"/>
      <c r="V133" s="519"/>
      <c r="W133" s="519"/>
      <c r="X133" s="519"/>
      <c r="Y133" s="519"/>
      <c r="Z133" s="519"/>
      <c r="AA133" s="519"/>
      <c r="AB133" s="519"/>
      <c r="AC133" s="519"/>
      <c r="AD133" s="519"/>
    </row>
    <row r="134" spans="5:30" s="1" customFormat="1" x14ac:dyDescent="0.25">
      <c r="E134" s="2"/>
      <c r="G134" s="519"/>
      <c r="H134" s="519"/>
      <c r="I134" s="519"/>
      <c r="O134" s="519"/>
      <c r="P134" s="519"/>
      <c r="Q134" s="519"/>
      <c r="R134" s="519"/>
      <c r="S134" s="519"/>
      <c r="T134" s="519"/>
      <c r="U134" s="519"/>
      <c r="V134" s="519"/>
      <c r="W134" s="519"/>
      <c r="X134" s="519"/>
      <c r="Y134" s="519"/>
      <c r="Z134" s="519"/>
      <c r="AA134" s="519"/>
      <c r="AB134" s="519"/>
      <c r="AC134" s="519"/>
      <c r="AD134" s="519"/>
    </row>
    <row r="135" spans="5:30" s="1" customFormat="1" x14ac:dyDescent="0.25">
      <c r="E135" s="2"/>
      <c r="G135" s="519"/>
      <c r="H135" s="519"/>
      <c r="I135" s="519"/>
      <c r="O135" s="519"/>
      <c r="P135" s="519"/>
      <c r="Q135" s="519"/>
      <c r="R135" s="519"/>
      <c r="S135" s="519"/>
      <c r="T135" s="519"/>
      <c r="U135" s="519"/>
      <c r="V135" s="519"/>
      <c r="W135" s="519"/>
      <c r="X135" s="519"/>
      <c r="Y135" s="519"/>
      <c r="Z135" s="519"/>
      <c r="AA135" s="519"/>
      <c r="AB135" s="519"/>
      <c r="AC135" s="519"/>
      <c r="AD135" s="519"/>
    </row>
    <row r="136" spans="5:30" s="1" customFormat="1" x14ac:dyDescent="0.25">
      <c r="E136" s="2"/>
      <c r="G136" s="519"/>
      <c r="H136" s="519"/>
      <c r="I136" s="519"/>
      <c r="O136" s="519"/>
      <c r="P136" s="519"/>
      <c r="Q136" s="519"/>
      <c r="R136" s="519"/>
      <c r="S136" s="519"/>
      <c r="T136" s="519"/>
      <c r="U136" s="519"/>
      <c r="V136" s="519"/>
      <c r="W136" s="519"/>
      <c r="X136" s="519"/>
      <c r="Y136" s="519"/>
      <c r="Z136" s="519"/>
      <c r="AA136" s="519"/>
      <c r="AB136" s="519"/>
      <c r="AC136" s="519"/>
      <c r="AD136" s="519"/>
    </row>
    <row r="137" spans="5:30" s="1" customFormat="1" x14ac:dyDescent="0.25">
      <c r="E137" s="2"/>
      <c r="G137" s="519"/>
      <c r="H137" s="519"/>
      <c r="I137" s="519"/>
      <c r="O137" s="519"/>
      <c r="P137" s="519"/>
      <c r="Q137" s="519"/>
      <c r="R137" s="519"/>
      <c r="S137" s="519"/>
      <c r="T137" s="519"/>
      <c r="U137" s="519"/>
      <c r="V137" s="519"/>
      <c r="W137" s="519"/>
      <c r="X137" s="519"/>
      <c r="Y137" s="519"/>
      <c r="Z137" s="519"/>
      <c r="AA137" s="519"/>
      <c r="AB137" s="519"/>
      <c r="AC137" s="519"/>
      <c r="AD137" s="519"/>
    </row>
    <row r="138" spans="5:30" s="1" customFormat="1" x14ac:dyDescent="0.25">
      <c r="E138" s="2"/>
      <c r="G138" s="519"/>
      <c r="H138" s="519"/>
      <c r="I138" s="519"/>
      <c r="O138" s="519"/>
      <c r="P138" s="519"/>
      <c r="Q138" s="519"/>
      <c r="R138" s="519"/>
      <c r="S138" s="519"/>
      <c r="T138" s="519"/>
      <c r="U138" s="519"/>
      <c r="V138" s="519"/>
      <c r="W138" s="519"/>
      <c r="X138" s="519"/>
      <c r="Y138" s="519"/>
      <c r="Z138" s="519"/>
      <c r="AA138" s="519"/>
      <c r="AB138" s="519"/>
      <c r="AC138" s="519"/>
      <c r="AD138" s="519"/>
    </row>
    <row r="139" spans="5:30" s="1" customFormat="1" x14ac:dyDescent="0.25">
      <c r="E139" s="2"/>
      <c r="G139" s="519"/>
      <c r="H139" s="519"/>
      <c r="I139" s="519"/>
      <c r="O139" s="519"/>
      <c r="P139" s="519"/>
      <c r="Q139" s="519"/>
      <c r="R139" s="519"/>
      <c r="S139" s="519"/>
      <c r="T139" s="519"/>
      <c r="U139" s="519"/>
      <c r="V139" s="519"/>
      <c r="W139" s="519"/>
      <c r="X139" s="519"/>
      <c r="Y139" s="519"/>
      <c r="Z139" s="519"/>
      <c r="AA139" s="519"/>
      <c r="AB139" s="519"/>
      <c r="AC139" s="519"/>
      <c r="AD139" s="519"/>
    </row>
    <row r="140" spans="5:30" s="1" customFormat="1" x14ac:dyDescent="0.25">
      <c r="E140" s="2"/>
      <c r="G140" s="519"/>
      <c r="H140" s="519"/>
      <c r="I140" s="519"/>
      <c r="O140" s="519"/>
      <c r="P140" s="519"/>
      <c r="Q140" s="519"/>
      <c r="R140" s="519"/>
      <c r="S140" s="519"/>
      <c r="T140" s="519"/>
      <c r="U140" s="519"/>
      <c r="V140" s="519"/>
      <c r="W140" s="519"/>
      <c r="X140" s="519"/>
      <c r="Y140" s="519"/>
      <c r="Z140" s="519"/>
      <c r="AA140" s="519"/>
      <c r="AB140" s="519"/>
      <c r="AC140" s="519"/>
      <c r="AD140" s="519"/>
    </row>
    <row r="141" spans="5:30" s="1" customFormat="1" x14ac:dyDescent="0.25">
      <c r="E141" s="2"/>
      <c r="G141" s="519"/>
      <c r="H141" s="519"/>
      <c r="I141" s="519"/>
      <c r="O141" s="519"/>
      <c r="P141" s="519"/>
      <c r="Q141" s="519"/>
      <c r="R141" s="519"/>
      <c r="S141" s="519"/>
      <c r="T141" s="519"/>
      <c r="U141" s="519"/>
      <c r="V141" s="519"/>
      <c r="W141" s="519"/>
      <c r="X141" s="519"/>
      <c r="Y141" s="519"/>
      <c r="Z141" s="519"/>
      <c r="AA141" s="519"/>
      <c r="AB141" s="519"/>
      <c r="AC141" s="519"/>
      <c r="AD141" s="519"/>
    </row>
    <row r="142" spans="5:30" s="1" customFormat="1" x14ac:dyDescent="0.25">
      <c r="E142" s="2"/>
      <c r="G142" s="519"/>
      <c r="H142" s="519"/>
      <c r="I142" s="519"/>
      <c r="O142" s="519"/>
      <c r="P142" s="519"/>
      <c r="Q142" s="519"/>
      <c r="R142" s="519"/>
      <c r="S142" s="519"/>
      <c r="T142" s="519"/>
      <c r="U142" s="519"/>
      <c r="V142" s="519"/>
      <c r="W142" s="519"/>
      <c r="X142" s="519"/>
      <c r="Y142" s="519"/>
      <c r="Z142" s="519"/>
      <c r="AA142" s="519"/>
      <c r="AB142" s="519"/>
      <c r="AC142" s="519"/>
      <c r="AD142" s="519"/>
    </row>
    <row r="143" spans="5:30" s="1" customFormat="1" x14ac:dyDescent="0.25">
      <c r="E143" s="2"/>
      <c r="G143" s="519"/>
      <c r="H143" s="519"/>
      <c r="I143" s="519"/>
      <c r="O143" s="519"/>
      <c r="P143" s="519"/>
      <c r="Q143" s="519"/>
      <c r="R143" s="519"/>
      <c r="S143" s="519"/>
      <c r="T143" s="519"/>
      <c r="U143" s="519"/>
      <c r="V143" s="519"/>
      <c r="W143" s="519"/>
      <c r="X143" s="519"/>
      <c r="Y143" s="519"/>
      <c r="Z143" s="519"/>
      <c r="AA143" s="519"/>
      <c r="AB143" s="519"/>
      <c r="AC143" s="519"/>
      <c r="AD143" s="519"/>
    </row>
    <row r="144" spans="5:30" s="1" customFormat="1" x14ac:dyDescent="0.25">
      <c r="E144" s="2"/>
      <c r="G144" s="519"/>
      <c r="H144" s="519"/>
      <c r="I144" s="519"/>
      <c r="O144" s="519"/>
      <c r="P144" s="519"/>
      <c r="Q144" s="519"/>
      <c r="R144" s="519"/>
      <c r="S144" s="519"/>
      <c r="T144" s="519"/>
      <c r="U144" s="519"/>
      <c r="V144" s="519"/>
      <c r="W144" s="519"/>
      <c r="X144" s="519"/>
      <c r="Y144" s="519"/>
      <c r="Z144" s="519"/>
      <c r="AA144" s="519"/>
      <c r="AB144" s="519"/>
      <c r="AC144" s="519"/>
      <c r="AD144" s="519"/>
    </row>
    <row r="145" spans="5:30" s="1" customFormat="1" x14ac:dyDescent="0.25">
      <c r="E145" s="2"/>
      <c r="G145" s="519"/>
      <c r="H145" s="519"/>
      <c r="I145" s="519"/>
      <c r="O145" s="519"/>
      <c r="P145" s="519"/>
      <c r="Q145" s="519"/>
      <c r="R145" s="519"/>
      <c r="S145" s="519"/>
      <c r="T145" s="519"/>
      <c r="U145" s="519"/>
      <c r="V145" s="519"/>
      <c r="W145" s="519"/>
      <c r="X145" s="519"/>
      <c r="Y145" s="519"/>
      <c r="Z145" s="519"/>
      <c r="AA145" s="519"/>
      <c r="AB145" s="519"/>
      <c r="AC145" s="519"/>
      <c r="AD145" s="519"/>
    </row>
    <row r="146" spans="5:30" s="1" customFormat="1" x14ac:dyDescent="0.25">
      <c r="E146" s="2"/>
      <c r="G146" s="519"/>
      <c r="H146" s="519"/>
      <c r="I146" s="519"/>
      <c r="O146" s="519"/>
      <c r="P146" s="519"/>
      <c r="Q146" s="519"/>
      <c r="R146" s="519"/>
      <c r="S146" s="519"/>
      <c r="T146" s="519"/>
      <c r="U146" s="519"/>
      <c r="V146" s="519"/>
      <c r="W146" s="519"/>
      <c r="X146" s="519"/>
      <c r="Y146" s="519"/>
      <c r="Z146" s="519"/>
      <c r="AA146" s="519"/>
      <c r="AB146" s="519"/>
      <c r="AC146" s="519"/>
      <c r="AD146" s="519"/>
    </row>
    <row r="147" spans="5:30" s="1" customFormat="1" x14ac:dyDescent="0.25">
      <c r="E147" s="2"/>
      <c r="G147" s="519"/>
      <c r="H147" s="519"/>
      <c r="I147" s="519"/>
      <c r="O147" s="519"/>
      <c r="P147" s="519"/>
      <c r="Q147" s="519"/>
      <c r="R147" s="519"/>
      <c r="S147" s="519"/>
      <c r="T147" s="519"/>
      <c r="U147" s="519"/>
      <c r="V147" s="519"/>
      <c r="W147" s="519"/>
      <c r="X147" s="519"/>
      <c r="Y147" s="519"/>
      <c r="Z147" s="519"/>
      <c r="AA147" s="519"/>
      <c r="AB147" s="519"/>
      <c r="AC147" s="519"/>
      <c r="AD147" s="519"/>
    </row>
    <row r="148" spans="5:30" s="1" customFormat="1" x14ac:dyDescent="0.25">
      <c r="E148" s="2"/>
      <c r="G148" s="519"/>
      <c r="H148" s="519"/>
      <c r="I148" s="519"/>
      <c r="O148" s="519"/>
      <c r="P148" s="519"/>
      <c r="Q148" s="519"/>
      <c r="R148" s="519"/>
      <c r="S148" s="519"/>
      <c r="T148" s="519"/>
      <c r="U148" s="519"/>
      <c r="V148" s="519"/>
      <c r="W148" s="519"/>
      <c r="X148" s="519"/>
      <c r="Y148" s="519"/>
      <c r="Z148" s="519"/>
      <c r="AA148" s="519"/>
      <c r="AB148" s="519"/>
      <c r="AC148" s="519"/>
      <c r="AD148" s="519"/>
    </row>
    <row r="149" spans="5:30" s="1" customFormat="1" x14ac:dyDescent="0.25">
      <c r="E149" s="2"/>
      <c r="G149" s="519"/>
      <c r="H149" s="519"/>
      <c r="I149" s="519"/>
      <c r="O149" s="519"/>
      <c r="P149" s="519"/>
      <c r="Q149" s="519"/>
      <c r="R149" s="519"/>
      <c r="S149" s="519"/>
      <c r="T149" s="519"/>
      <c r="U149" s="519"/>
      <c r="V149" s="519"/>
      <c r="W149" s="519"/>
      <c r="X149" s="519"/>
      <c r="Y149" s="519"/>
      <c r="Z149" s="519"/>
      <c r="AA149" s="519"/>
      <c r="AB149" s="519"/>
      <c r="AC149" s="519"/>
      <c r="AD149" s="519"/>
    </row>
    <row r="150" spans="5:30" s="1" customFormat="1" x14ac:dyDescent="0.25">
      <c r="E150" s="2"/>
      <c r="G150" s="519"/>
      <c r="H150" s="519"/>
      <c r="I150" s="519"/>
      <c r="O150" s="519"/>
      <c r="P150" s="519"/>
      <c r="Q150" s="519"/>
      <c r="R150" s="519"/>
      <c r="S150" s="519"/>
      <c r="T150" s="519"/>
      <c r="U150" s="519"/>
      <c r="V150" s="519"/>
      <c r="W150" s="519"/>
      <c r="X150" s="519"/>
      <c r="Y150" s="519"/>
      <c r="Z150" s="519"/>
      <c r="AA150" s="519"/>
      <c r="AB150" s="519"/>
      <c r="AC150" s="519"/>
      <c r="AD150" s="519"/>
    </row>
    <row r="151" spans="5:30" s="1" customFormat="1" x14ac:dyDescent="0.25">
      <c r="E151" s="2"/>
      <c r="G151" s="519"/>
      <c r="H151" s="519"/>
      <c r="I151" s="519"/>
      <c r="O151" s="519"/>
      <c r="P151" s="519"/>
      <c r="Q151" s="519"/>
      <c r="R151" s="519"/>
      <c r="S151" s="519"/>
      <c r="T151" s="519"/>
      <c r="U151" s="519"/>
      <c r="V151" s="519"/>
      <c r="W151" s="519"/>
      <c r="X151" s="519"/>
      <c r="Y151" s="519"/>
      <c r="Z151" s="519"/>
      <c r="AA151" s="519"/>
      <c r="AB151" s="519"/>
      <c r="AC151" s="519"/>
      <c r="AD151" s="519"/>
    </row>
    <row r="152" spans="5:30" s="1" customFormat="1" x14ac:dyDescent="0.25">
      <c r="E152" s="2"/>
      <c r="G152" s="519"/>
      <c r="H152" s="519"/>
      <c r="I152" s="519"/>
      <c r="O152" s="519"/>
      <c r="P152" s="519"/>
      <c r="Q152" s="519"/>
      <c r="R152" s="519"/>
      <c r="S152" s="519"/>
      <c r="T152" s="519"/>
      <c r="U152" s="519"/>
      <c r="V152" s="519"/>
      <c r="W152" s="519"/>
      <c r="X152" s="519"/>
      <c r="Y152" s="519"/>
      <c r="Z152" s="519"/>
      <c r="AA152" s="519"/>
      <c r="AB152" s="519"/>
      <c r="AC152" s="519"/>
      <c r="AD152" s="519"/>
    </row>
    <row r="153" spans="5:30" s="1" customFormat="1" x14ac:dyDescent="0.25">
      <c r="E153" s="2"/>
      <c r="G153" s="519"/>
      <c r="H153" s="519"/>
      <c r="I153" s="519"/>
      <c r="O153" s="519"/>
      <c r="P153" s="519"/>
      <c r="Q153" s="519"/>
      <c r="R153" s="519"/>
      <c r="S153" s="519"/>
      <c r="T153" s="519"/>
      <c r="U153" s="519"/>
      <c r="V153" s="519"/>
      <c r="W153" s="519"/>
      <c r="X153" s="519"/>
      <c r="Y153" s="519"/>
      <c r="Z153" s="519"/>
      <c r="AA153" s="519"/>
      <c r="AB153" s="519"/>
      <c r="AC153" s="519"/>
      <c r="AD153" s="519"/>
    </row>
    <row r="154" spans="5:30" s="1" customFormat="1" x14ac:dyDescent="0.25">
      <c r="E154" s="2"/>
      <c r="G154" s="519"/>
      <c r="H154" s="519"/>
      <c r="I154" s="519"/>
      <c r="O154" s="519"/>
      <c r="P154" s="519"/>
      <c r="Q154" s="519"/>
      <c r="R154" s="519"/>
      <c r="S154" s="519"/>
      <c r="T154" s="519"/>
      <c r="U154" s="519"/>
      <c r="V154" s="519"/>
      <c r="W154" s="519"/>
      <c r="X154" s="519"/>
      <c r="Y154" s="519"/>
      <c r="Z154" s="519"/>
      <c r="AA154" s="519"/>
      <c r="AB154" s="519"/>
      <c r="AC154" s="519"/>
      <c r="AD154" s="519"/>
    </row>
    <row r="155" spans="5:30" s="1" customFormat="1" x14ac:dyDescent="0.25">
      <c r="E155" s="2"/>
      <c r="G155" s="519"/>
      <c r="H155" s="519"/>
      <c r="I155" s="519"/>
      <c r="O155" s="519"/>
      <c r="P155" s="519"/>
      <c r="Q155" s="519"/>
      <c r="R155" s="519"/>
      <c r="S155" s="519"/>
      <c r="T155" s="519"/>
      <c r="U155" s="519"/>
      <c r="V155" s="519"/>
      <c r="W155" s="519"/>
      <c r="X155" s="519"/>
      <c r="Y155" s="519"/>
      <c r="Z155" s="519"/>
      <c r="AA155" s="519"/>
      <c r="AB155" s="519"/>
      <c r="AC155" s="519"/>
      <c r="AD155" s="519"/>
    </row>
    <row r="156" spans="5:30" s="1" customFormat="1" x14ac:dyDescent="0.25">
      <c r="E156" s="2"/>
      <c r="G156" s="519"/>
      <c r="H156" s="519"/>
      <c r="I156" s="519"/>
      <c r="O156" s="519"/>
      <c r="P156" s="519"/>
      <c r="Q156" s="519"/>
      <c r="R156" s="519"/>
      <c r="S156" s="519"/>
      <c r="T156" s="519"/>
      <c r="U156" s="519"/>
      <c r="V156" s="519"/>
      <c r="W156" s="519"/>
      <c r="X156" s="519"/>
      <c r="Y156" s="519"/>
      <c r="Z156" s="519"/>
      <c r="AA156" s="519"/>
      <c r="AB156" s="519"/>
      <c r="AC156" s="519"/>
      <c r="AD156" s="519"/>
    </row>
    <row r="157" spans="5:30" s="1" customFormat="1" x14ac:dyDescent="0.25">
      <c r="E157" s="2"/>
      <c r="G157" s="519"/>
      <c r="H157" s="519"/>
      <c r="I157" s="519"/>
      <c r="O157" s="519"/>
      <c r="P157" s="519"/>
      <c r="Q157" s="519"/>
      <c r="R157" s="519"/>
      <c r="S157" s="519"/>
      <c r="T157" s="519"/>
      <c r="U157" s="519"/>
      <c r="V157" s="519"/>
      <c r="W157" s="519"/>
      <c r="X157" s="519"/>
      <c r="Y157" s="519"/>
      <c r="Z157" s="519"/>
      <c r="AA157" s="519"/>
      <c r="AB157" s="519"/>
      <c r="AC157" s="519"/>
      <c r="AD157" s="519"/>
    </row>
    <row r="158" spans="5:30" s="1" customFormat="1" x14ac:dyDescent="0.25">
      <c r="E158" s="2"/>
      <c r="G158" s="519"/>
      <c r="H158" s="519"/>
      <c r="I158" s="519"/>
      <c r="O158" s="519"/>
      <c r="P158" s="519"/>
      <c r="Q158" s="519"/>
      <c r="R158" s="519"/>
      <c r="S158" s="519"/>
      <c r="T158" s="519"/>
      <c r="U158" s="519"/>
      <c r="V158" s="519"/>
      <c r="W158" s="519"/>
      <c r="X158" s="519"/>
      <c r="Y158" s="519"/>
      <c r="Z158" s="519"/>
      <c r="AA158" s="519"/>
      <c r="AB158" s="519"/>
      <c r="AC158" s="519"/>
      <c r="AD158" s="519"/>
    </row>
    <row r="159" spans="5:30" s="1" customFormat="1" x14ac:dyDescent="0.25">
      <c r="E159" s="2"/>
      <c r="G159" s="519"/>
      <c r="H159" s="519"/>
      <c r="I159" s="519"/>
      <c r="O159" s="519"/>
      <c r="P159" s="519"/>
      <c r="Q159" s="519"/>
      <c r="R159" s="519"/>
      <c r="S159" s="519"/>
      <c r="T159" s="519"/>
      <c r="U159" s="519"/>
      <c r="V159" s="519"/>
      <c r="W159" s="519"/>
      <c r="X159" s="519"/>
      <c r="Y159" s="519"/>
      <c r="Z159" s="519"/>
      <c r="AA159" s="519"/>
      <c r="AB159" s="519"/>
      <c r="AC159" s="519"/>
      <c r="AD159" s="519"/>
    </row>
    <row r="160" spans="5:30" s="1" customFormat="1" x14ac:dyDescent="0.25">
      <c r="E160" s="2"/>
      <c r="G160" s="519"/>
      <c r="H160" s="519"/>
      <c r="I160" s="519"/>
      <c r="O160" s="519"/>
      <c r="P160" s="519"/>
      <c r="Q160" s="519"/>
      <c r="R160" s="519"/>
      <c r="S160" s="519"/>
      <c r="T160" s="519"/>
      <c r="U160" s="519"/>
      <c r="V160" s="519"/>
      <c r="W160" s="519"/>
      <c r="X160" s="519"/>
      <c r="Y160" s="519"/>
      <c r="Z160" s="519"/>
      <c r="AA160" s="519"/>
      <c r="AB160" s="519"/>
      <c r="AC160" s="519"/>
      <c r="AD160" s="519"/>
    </row>
    <row r="161" spans="5:30" s="1" customFormat="1" x14ac:dyDescent="0.25">
      <c r="E161" s="2"/>
      <c r="G161" s="519"/>
      <c r="H161" s="519"/>
      <c r="I161" s="519"/>
      <c r="O161" s="519"/>
      <c r="P161" s="519"/>
      <c r="Q161" s="519"/>
      <c r="R161" s="519"/>
      <c r="S161" s="519"/>
      <c r="T161" s="519"/>
      <c r="U161" s="519"/>
      <c r="V161" s="519"/>
      <c r="W161" s="519"/>
      <c r="X161" s="519"/>
      <c r="Y161" s="519"/>
      <c r="Z161" s="519"/>
      <c r="AA161" s="519"/>
      <c r="AB161" s="519"/>
      <c r="AC161" s="519"/>
      <c r="AD161" s="519"/>
    </row>
    <row r="162" spans="5:30" s="1" customFormat="1" x14ac:dyDescent="0.25">
      <c r="E162" s="2"/>
      <c r="G162" s="519"/>
      <c r="H162" s="519"/>
      <c r="I162" s="519"/>
      <c r="O162" s="519"/>
      <c r="P162" s="519"/>
      <c r="Q162" s="519"/>
      <c r="R162" s="519"/>
      <c r="S162" s="519"/>
      <c r="T162" s="519"/>
      <c r="U162" s="519"/>
      <c r="V162" s="519"/>
      <c r="W162" s="519"/>
      <c r="X162" s="519"/>
      <c r="Y162" s="519"/>
      <c r="Z162" s="519"/>
      <c r="AA162" s="519"/>
      <c r="AB162" s="519"/>
      <c r="AC162" s="519"/>
      <c r="AD162" s="519"/>
    </row>
    <row r="163" spans="5:30" s="1" customFormat="1" x14ac:dyDescent="0.25">
      <c r="E163" s="2"/>
      <c r="G163" s="519"/>
      <c r="H163" s="519"/>
      <c r="I163" s="519"/>
      <c r="O163" s="519"/>
      <c r="P163" s="519"/>
      <c r="Q163" s="519"/>
      <c r="R163" s="519"/>
      <c r="S163" s="519"/>
      <c r="T163" s="519"/>
      <c r="U163" s="519"/>
      <c r="V163" s="519"/>
      <c r="W163" s="519"/>
      <c r="X163" s="519"/>
      <c r="Y163" s="519"/>
      <c r="Z163" s="519"/>
      <c r="AA163" s="519"/>
      <c r="AB163" s="519"/>
      <c r="AC163" s="519"/>
      <c r="AD163" s="519"/>
    </row>
    <row r="164" spans="5:30" s="1" customFormat="1" x14ac:dyDescent="0.25">
      <c r="E164" s="2"/>
      <c r="G164" s="519"/>
      <c r="H164" s="519"/>
      <c r="I164" s="519"/>
      <c r="O164" s="519"/>
      <c r="P164" s="519"/>
      <c r="Q164" s="519"/>
      <c r="R164" s="519"/>
      <c r="S164" s="519"/>
      <c r="T164" s="519"/>
      <c r="U164" s="519"/>
      <c r="V164" s="519"/>
      <c r="W164" s="519"/>
      <c r="X164" s="519"/>
      <c r="Y164" s="519"/>
      <c r="Z164" s="519"/>
      <c r="AA164" s="519"/>
      <c r="AB164" s="519"/>
      <c r="AC164" s="519"/>
      <c r="AD164" s="519"/>
    </row>
    <row r="165" spans="5:30" s="1" customFormat="1" x14ac:dyDescent="0.25">
      <c r="E165" s="2"/>
      <c r="G165" s="519"/>
      <c r="H165" s="519"/>
      <c r="I165" s="519"/>
      <c r="O165" s="519"/>
      <c r="P165" s="519"/>
      <c r="Q165" s="519"/>
      <c r="R165" s="519"/>
      <c r="S165" s="519"/>
      <c r="T165" s="519"/>
      <c r="U165" s="519"/>
      <c r="V165" s="519"/>
      <c r="W165" s="519"/>
      <c r="X165" s="519"/>
      <c r="Y165" s="519"/>
      <c r="Z165" s="519"/>
      <c r="AA165" s="519"/>
      <c r="AB165" s="519"/>
      <c r="AC165" s="519"/>
      <c r="AD165" s="519"/>
    </row>
    <row r="166" spans="5:30" s="1" customFormat="1" x14ac:dyDescent="0.25">
      <c r="E166" s="2"/>
      <c r="G166" s="519"/>
      <c r="H166" s="519"/>
      <c r="I166" s="519"/>
      <c r="O166" s="519"/>
      <c r="P166" s="519"/>
      <c r="Q166" s="519"/>
      <c r="R166" s="519"/>
      <c r="S166" s="519"/>
      <c r="T166" s="519"/>
      <c r="U166" s="519"/>
      <c r="V166" s="519"/>
      <c r="W166" s="519"/>
      <c r="X166" s="519"/>
      <c r="Y166" s="519"/>
      <c r="Z166" s="519"/>
      <c r="AA166" s="519"/>
      <c r="AB166" s="519"/>
      <c r="AC166" s="519"/>
      <c r="AD166" s="519"/>
    </row>
    <row r="167" spans="5:30" s="1" customFormat="1" x14ac:dyDescent="0.25">
      <c r="E167" s="2"/>
      <c r="G167" s="519"/>
      <c r="H167" s="519"/>
      <c r="I167" s="519"/>
      <c r="O167" s="519"/>
      <c r="P167" s="519"/>
      <c r="Q167" s="519"/>
      <c r="R167" s="519"/>
      <c r="S167" s="519"/>
      <c r="T167" s="519"/>
      <c r="U167" s="519"/>
      <c r="V167" s="519"/>
      <c r="W167" s="519"/>
      <c r="X167" s="519"/>
      <c r="Y167" s="519"/>
      <c r="Z167" s="519"/>
      <c r="AA167" s="519"/>
      <c r="AB167" s="519"/>
      <c r="AC167" s="519"/>
      <c r="AD167" s="519"/>
    </row>
    <row r="168" spans="5:30" s="1" customFormat="1" x14ac:dyDescent="0.25">
      <c r="E168" s="2"/>
      <c r="G168" s="519"/>
      <c r="H168" s="519"/>
      <c r="I168" s="519"/>
      <c r="O168" s="519"/>
      <c r="P168" s="519"/>
      <c r="Q168" s="519"/>
      <c r="R168" s="519"/>
      <c r="S168" s="519"/>
      <c r="T168" s="519"/>
      <c r="U168" s="519"/>
      <c r="V168" s="519"/>
      <c r="W168" s="519"/>
      <c r="X168" s="519"/>
      <c r="Y168" s="519"/>
      <c r="Z168" s="519"/>
      <c r="AA168" s="519"/>
      <c r="AB168" s="519"/>
      <c r="AC168" s="519"/>
      <c r="AD168" s="519"/>
    </row>
    <row r="169" spans="5:30" s="1" customFormat="1" x14ac:dyDescent="0.25">
      <c r="E169" s="2"/>
      <c r="G169" s="519"/>
      <c r="H169" s="519"/>
      <c r="I169" s="519"/>
      <c r="O169" s="519"/>
      <c r="P169" s="519"/>
      <c r="Q169" s="519"/>
      <c r="R169" s="519"/>
      <c r="S169" s="519"/>
      <c r="T169" s="519"/>
      <c r="U169" s="519"/>
      <c r="V169" s="519"/>
      <c r="W169" s="519"/>
      <c r="X169" s="519"/>
      <c r="Y169" s="519"/>
      <c r="Z169" s="519"/>
      <c r="AA169" s="519"/>
      <c r="AB169" s="519"/>
      <c r="AC169" s="519"/>
      <c r="AD169" s="519"/>
    </row>
    <row r="170" spans="5:30" s="1" customFormat="1" x14ac:dyDescent="0.25">
      <c r="E170" s="2"/>
      <c r="G170" s="519"/>
      <c r="H170" s="519"/>
      <c r="I170" s="519"/>
      <c r="O170" s="519"/>
      <c r="P170" s="519"/>
      <c r="Q170" s="519"/>
      <c r="R170" s="519"/>
      <c r="S170" s="519"/>
      <c r="T170" s="519"/>
      <c r="U170" s="519"/>
      <c r="V170" s="519"/>
      <c r="W170" s="519"/>
      <c r="X170" s="519"/>
      <c r="Y170" s="519"/>
      <c r="Z170" s="519"/>
      <c r="AA170" s="519"/>
      <c r="AB170" s="519"/>
      <c r="AC170" s="519"/>
      <c r="AD170" s="519"/>
    </row>
    <row r="171" spans="5:30" s="1" customFormat="1" x14ac:dyDescent="0.25">
      <c r="E171" s="2"/>
      <c r="G171" s="519"/>
      <c r="H171" s="519"/>
      <c r="I171" s="519"/>
      <c r="O171" s="519"/>
      <c r="P171" s="519"/>
      <c r="Q171" s="519"/>
      <c r="R171" s="519"/>
      <c r="S171" s="519"/>
      <c r="T171" s="519"/>
      <c r="U171" s="519"/>
      <c r="V171" s="519"/>
      <c r="W171" s="519"/>
      <c r="X171" s="519"/>
      <c r="Y171" s="519"/>
      <c r="Z171" s="519"/>
      <c r="AA171" s="519"/>
      <c r="AB171" s="519"/>
      <c r="AC171" s="519"/>
      <c r="AD171" s="519"/>
    </row>
    <row r="172" spans="5:30" s="1" customFormat="1" x14ac:dyDescent="0.25">
      <c r="E172" s="2"/>
      <c r="G172" s="519"/>
      <c r="H172" s="519"/>
      <c r="I172" s="519"/>
      <c r="O172" s="519"/>
      <c r="P172" s="519"/>
      <c r="Q172" s="519"/>
      <c r="R172" s="519"/>
      <c r="S172" s="519"/>
      <c r="T172" s="519"/>
      <c r="U172" s="519"/>
      <c r="V172" s="519"/>
      <c r="W172" s="519"/>
      <c r="X172" s="519"/>
      <c r="Y172" s="519"/>
      <c r="Z172" s="519"/>
      <c r="AA172" s="519"/>
      <c r="AB172" s="519"/>
      <c r="AC172" s="519"/>
      <c r="AD172" s="519"/>
    </row>
    <row r="173" spans="5:30" s="1" customFormat="1" x14ac:dyDescent="0.25">
      <c r="E173" s="2"/>
      <c r="G173" s="519"/>
      <c r="H173" s="519"/>
      <c r="I173" s="519"/>
      <c r="O173" s="519"/>
      <c r="P173" s="519"/>
      <c r="Q173" s="519"/>
      <c r="R173" s="519"/>
      <c r="S173" s="519"/>
      <c r="T173" s="519"/>
      <c r="U173" s="519"/>
      <c r="V173" s="519"/>
      <c r="W173" s="519"/>
      <c r="X173" s="519"/>
      <c r="Y173" s="519"/>
      <c r="Z173" s="519"/>
      <c r="AA173" s="519"/>
      <c r="AB173" s="519"/>
      <c r="AC173" s="519"/>
      <c r="AD173" s="519"/>
    </row>
    <row r="174" spans="5:30" s="1" customFormat="1" x14ac:dyDescent="0.25">
      <c r="E174" s="2"/>
      <c r="G174" s="519"/>
      <c r="H174" s="519"/>
      <c r="I174" s="519"/>
      <c r="O174" s="519"/>
      <c r="P174" s="519"/>
      <c r="Q174" s="519"/>
      <c r="R174" s="519"/>
      <c r="S174" s="519"/>
      <c r="T174" s="519"/>
      <c r="U174" s="519"/>
      <c r="V174" s="519"/>
      <c r="W174" s="519"/>
      <c r="X174" s="519"/>
      <c r="Y174" s="519"/>
      <c r="Z174" s="519"/>
      <c r="AA174" s="519"/>
      <c r="AB174" s="519"/>
      <c r="AC174" s="519"/>
      <c r="AD174" s="519"/>
    </row>
    <row r="175" spans="5:30" s="1" customFormat="1" x14ac:dyDescent="0.25">
      <c r="E175" s="2"/>
      <c r="G175" s="519"/>
      <c r="H175" s="519"/>
      <c r="I175" s="519"/>
      <c r="O175" s="519"/>
      <c r="P175" s="519"/>
      <c r="Q175" s="519"/>
      <c r="R175" s="519"/>
      <c r="S175" s="519"/>
      <c r="T175" s="519"/>
      <c r="U175" s="519"/>
      <c r="V175" s="519"/>
      <c r="W175" s="519"/>
      <c r="X175" s="519"/>
      <c r="Y175" s="519"/>
      <c r="Z175" s="519"/>
      <c r="AA175" s="519"/>
      <c r="AB175" s="519"/>
      <c r="AC175" s="519"/>
      <c r="AD175" s="519"/>
    </row>
    <row r="176" spans="5:30" s="1" customFormat="1" x14ac:dyDescent="0.25">
      <c r="E176" s="2"/>
      <c r="G176" s="519"/>
      <c r="H176" s="519"/>
      <c r="I176" s="519"/>
      <c r="O176" s="519"/>
      <c r="P176" s="519"/>
      <c r="Q176" s="519"/>
      <c r="R176" s="519"/>
      <c r="S176" s="519"/>
      <c r="T176" s="519"/>
      <c r="U176" s="519"/>
      <c r="V176" s="519"/>
      <c r="W176" s="519"/>
      <c r="X176" s="519"/>
      <c r="Y176" s="519"/>
      <c r="Z176" s="519"/>
      <c r="AA176" s="519"/>
      <c r="AB176" s="519"/>
      <c r="AC176" s="519"/>
      <c r="AD176" s="519"/>
    </row>
    <row r="177" spans="5:30" s="1" customFormat="1" x14ac:dyDescent="0.25">
      <c r="E177" s="2"/>
      <c r="G177" s="519"/>
      <c r="H177" s="519"/>
      <c r="I177" s="519"/>
      <c r="O177" s="519"/>
      <c r="P177" s="519"/>
      <c r="Q177" s="519"/>
      <c r="R177" s="519"/>
      <c r="S177" s="519"/>
      <c r="T177" s="519"/>
      <c r="U177" s="519"/>
      <c r="V177" s="519"/>
      <c r="W177" s="519"/>
      <c r="X177" s="519"/>
      <c r="Y177" s="519"/>
      <c r="Z177" s="519"/>
      <c r="AA177" s="519"/>
      <c r="AB177" s="519"/>
      <c r="AC177" s="519"/>
      <c r="AD177" s="519"/>
    </row>
    <row r="178" spans="5:30" s="1" customFormat="1" x14ac:dyDescent="0.25">
      <c r="E178" s="2"/>
      <c r="G178" s="519"/>
      <c r="H178" s="519"/>
      <c r="I178" s="519"/>
      <c r="O178" s="519"/>
      <c r="P178" s="519"/>
      <c r="Q178" s="519"/>
      <c r="R178" s="519"/>
      <c r="S178" s="519"/>
      <c r="T178" s="519"/>
      <c r="U178" s="519"/>
      <c r="V178" s="519"/>
      <c r="W178" s="519"/>
      <c r="X178" s="519"/>
      <c r="Y178" s="519"/>
      <c r="Z178" s="519"/>
      <c r="AA178" s="519"/>
      <c r="AB178" s="519"/>
      <c r="AC178" s="519"/>
      <c r="AD178" s="519"/>
    </row>
    <row r="179" spans="5:30" s="1" customFormat="1" x14ac:dyDescent="0.25">
      <c r="E179" s="2"/>
      <c r="G179" s="519"/>
      <c r="H179" s="519"/>
      <c r="I179" s="519"/>
      <c r="O179" s="519"/>
      <c r="P179" s="519"/>
      <c r="Q179" s="519"/>
      <c r="R179" s="519"/>
      <c r="S179" s="519"/>
      <c r="T179" s="519"/>
      <c r="U179" s="519"/>
      <c r="V179" s="519"/>
      <c r="W179" s="519"/>
      <c r="X179" s="519"/>
      <c r="Y179" s="519"/>
      <c r="Z179" s="519"/>
      <c r="AA179" s="519"/>
      <c r="AB179" s="519"/>
      <c r="AC179" s="519"/>
      <c r="AD179" s="519"/>
    </row>
    <row r="180" spans="5:30" s="1" customFormat="1" x14ac:dyDescent="0.25">
      <c r="E180" s="2"/>
      <c r="G180" s="519"/>
      <c r="H180" s="519"/>
      <c r="I180" s="519"/>
      <c r="O180" s="519"/>
      <c r="P180" s="519"/>
      <c r="Q180" s="519"/>
      <c r="R180" s="519"/>
      <c r="S180" s="519"/>
      <c r="T180" s="519"/>
      <c r="U180" s="519"/>
      <c r="V180" s="519"/>
      <c r="W180" s="519"/>
      <c r="X180" s="519"/>
      <c r="Y180" s="519"/>
      <c r="Z180" s="519"/>
      <c r="AA180" s="519"/>
      <c r="AB180" s="519"/>
      <c r="AC180" s="519"/>
      <c r="AD180" s="519"/>
    </row>
    <row r="181" spans="5:30" s="1" customFormat="1" x14ac:dyDescent="0.25">
      <c r="E181" s="2"/>
      <c r="G181" s="519"/>
      <c r="H181" s="519"/>
      <c r="I181" s="519"/>
      <c r="O181" s="519"/>
      <c r="P181" s="519"/>
      <c r="Q181" s="519"/>
      <c r="R181" s="519"/>
      <c r="S181" s="519"/>
      <c r="T181" s="519"/>
      <c r="U181" s="519"/>
      <c r="V181" s="519"/>
      <c r="W181" s="519"/>
      <c r="X181" s="519"/>
      <c r="Y181" s="519"/>
      <c r="Z181" s="519"/>
      <c r="AA181" s="519"/>
      <c r="AB181" s="519"/>
      <c r="AC181" s="519"/>
      <c r="AD181" s="519"/>
    </row>
    <row r="182" spans="5:30" s="1" customFormat="1" x14ac:dyDescent="0.25">
      <c r="E182" s="2"/>
      <c r="G182" s="519"/>
      <c r="H182" s="519"/>
      <c r="I182" s="519"/>
      <c r="O182" s="519"/>
      <c r="P182" s="519"/>
      <c r="Q182" s="519"/>
      <c r="R182" s="519"/>
      <c r="S182" s="519"/>
      <c r="T182" s="519"/>
      <c r="U182" s="519"/>
      <c r="V182" s="519"/>
      <c r="W182" s="519"/>
      <c r="X182" s="519"/>
      <c r="Y182" s="519"/>
      <c r="Z182" s="519"/>
      <c r="AA182" s="519"/>
      <c r="AB182" s="519"/>
      <c r="AC182" s="519"/>
      <c r="AD182" s="519"/>
    </row>
    <row r="183" spans="5:30" s="1" customFormat="1" x14ac:dyDescent="0.25">
      <c r="E183" s="2"/>
      <c r="G183" s="519"/>
      <c r="H183" s="519"/>
      <c r="I183" s="519"/>
      <c r="O183" s="519"/>
      <c r="P183" s="519"/>
      <c r="Q183" s="519"/>
      <c r="R183" s="519"/>
      <c r="S183" s="519"/>
      <c r="T183" s="519"/>
      <c r="U183" s="519"/>
      <c r="V183" s="519"/>
      <c r="W183" s="519"/>
      <c r="X183" s="519"/>
      <c r="Y183" s="519"/>
      <c r="Z183" s="519"/>
      <c r="AA183" s="519"/>
      <c r="AB183" s="519"/>
      <c r="AC183" s="519"/>
      <c r="AD183" s="519"/>
    </row>
    <row r="184" spans="5:30" s="1" customFormat="1" x14ac:dyDescent="0.25">
      <c r="E184" s="2"/>
      <c r="G184" s="519"/>
      <c r="H184" s="519"/>
      <c r="I184" s="519"/>
      <c r="O184" s="519"/>
      <c r="P184" s="519"/>
      <c r="Q184" s="519"/>
      <c r="R184" s="519"/>
      <c r="S184" s="519"/>
      <c r="T184" s="519"/>
      <c r="U184" s="519"/>
      <c r="V184" s="519"/>
      <c r="W184" s="519"/>
      <c r="X184" s="519"/>
      <c r="Y184" s="519"/>
      <c r="Z184" s="519"/>
      <c r="AA184" s="519"/>
      <c r="AB184" s="519"/>
      <c r="AC184" s="519"/>
      <c r="AD184" s="519"/>
    </row>
    <row r="185" spans="5:30" s="1" customFormat="1" x14ac:dyDescent="0.25">
      <c r="E185" s="2"/>
      <c r="G185" s="519"/>
      <c r="H185" s="519"/>
      <c r="I185" s="519"/>
      <c r="O185" s="519"/>
      <c r="P185" s="519"/>
      <c r="Q185" s="519"/>
      <c r="R185" s="519"/>
      <c r="S185" s="519"/>
      <c r="T185" s="519"/>
      <c r="U185" s="519"/>
      <c r="V185" s="519"/>
      <c r="W185" s="519"/>
      <c r="X185" s="519"/>
      <c r="Y185" s="519"/>
      <c r="Z185" s="519"/>
      <c r="AA185" s="519"/>
      <c r="AB185" s="519"/>
      <c r="AC185" s="519"/>
      <c r="AD185" s="519"/>
    </row>
    <row r="186" spans="5:30" s="1" customFormat="1" x14ac:dyDescent="0.25">
      <c r="E186" s="2"/>
      <c r="G186" s="519"/>
      <c r="H186" s="519"/>
      <c r="I186" s="519"/>
      <c r="O186" s="519"/>
      <c r="P186" s="519"/>
      <c r="Q186" s="519"/>
      <c r="R186" s="519"/>
      <c r="S186" s="519"/>
      <c r="T186" s="519"/>
      <c r="U186" s="519"/>
      <c r="V186" s="519"/>
      <c r="W186" s="519"/>
      <c r="X186" s="519"/>
      <c r="Y186" s="519"/>
      <c r="Z186" s="519"/>
      <c r="AA186" s="519"/>
      <c r="AB186" s="519"/>
      <c r="AC186" s="519"/>
      <c r="AD186" s="519"/>
    </row>
  </sheetData>
  <sheetProtection algorithmName="SHA-512" hashValue="lzun0V98p5tHHpffPx4ciIceV69mLdRVEVGwSptcb2auipiuCvW0mRec78SS1xVm6Mg0fMmqqD+ga51a4+5vzQ==" saltValue="hsxINERpCaxUa/qO9tLMcQ==" spinCount="100000" sheet="1" formatCells="0"/>
  <sortState xmlns:xlrd2="http://schemas.microsoft.com/office/spreadsheetml/2017/richdata2" ref="AF82:AF86">
    <sortCondition ref="AF82"/>
  </sortState>
  <dataConsolidate/>
  <mergeCells count="5">
    <mergeCell ref="B46:F46"/>
    <mergeCell ref="B49:F49"/>
    <mergeCell ref="B40:F40"/>
    <mergeCell ref="B35:C35"/>
    <mergeCell ref="E35:F35"/>
  </mergeCells>
  <phoneticPr fontId="22" type="noConversion"/>
  <conditionalFormatting sqref="E17:F17">
    <cfRule type="expression" dxfId="4499" priority="6">
      <formula>$F$5=$AE$5</formula>
    </cfRule>
    <cfRule type="expression" dxfId="4498" priority="594">
      <formula>$F$5&lt;&gt;$L$5</formula>
    </cfRule>
  </conditionalFormatting>
  <conditionalFormatting sqref="E16:F16 E17">
    <cfRule type="expression" dxfId="4497" priority="596">
      <formula>$F$5&lt;&gt;$L$5</formula>
    </cfRule>
  </conditionalFormatting>
  <conditionalFormatting sqref="E14:F14">
    <cfRule type="expression" dxfId="4496" priority="599">
      <formula>$F$5&lt;&gt;$L$9</formula>
    </cfRule>
  </conditionalFormatting>
  <conditionalFormatting sqref="E21:F21">
    <cfRule type="expression" dxfId="4495" priority="16">
      <formula>$H$21=0</formula>
    </cfRule>
  </conditionalFormatting>
  <conditionalFormatting sqref="E16:F16">
    <cfRule type="expression" dxfId="4494" priority="7">
      <formula>$F$5=$AE$5</formula>
    </cfRule>
  </conditionalFormatting>
  <conditionalFormatting sqref="E20:F20 E22:F22">
    <cfRule type="expression" dxfId="4493" priority="5">
      <formula>$F$5=$AE$5</formula>
    </cfRule>
  </conditionalFormatting>
  <conditionalFormatting sqref="E18:F27">
    <cfRule type="expression" dxfId="4492" priority="4">
      <formula>$I18=0</formula>
    </cfRule>
  </conditionalFormatting>
  <conditionalFormatting sqref="F18:F27">
    <cfRule type="expression" dxfId="4491" priority="3">
      <formula>$I18=1</formula>
    </cfRule>
  </conditionalFormatting>
  <conditionalFormatting sqref="E28:F28">
    <cfRule type="expression" dxfId="4490" priority="2">
      <formula>$I28=0</formula>
    </cfRule>
  </conditionalFormatting>
  <conditionalFormatting sqref="F28">
    <cfRule type="expression" dxfId="4489" priority="1">
      <formula>$I28=1</formula>
    </cfRule>
  </conditionalFormatting>
  <dataValidations xWindow="982" yWindow="379" count="27">
    <dataValidation type="list" allowBlank="1" showInputMessage="1" showErrorMessage="1" sqref="P98" xr:uid="{00000000-0002-0000-0100-000000000000}">
      <formula1>$P$96:$P$97</formula1>
    </dataValidation>
    <dataValidation allowBlank="1" showErrorMessage="1" sqref="F13:F14 C6 C14:C17 C23:C32 E34" xr:uid="{00000000-0002-0000-0100-000001000000}"/>
    <dataValidation allowBlank="1" showInputMessage="1" showErrorMessage="1" prompt="This is the building address that will appear on the BREEAM certificate and GreenBook Live listing." sqref="B16" xr:uid="{00000000-0002-0000-0100-000002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C5" xr:uid="{00000000-0002-0000-0100-000003000000}"/>
    <dataValidation allowBlank="1" showInputMessage="1" showErrorMessage="1" promptTitle="Building name" prompt="If you are unable to confirm this information at present, then enter &quot;to be confirmed&quot; in this field (and confirm at a later date)" sqref="C13" xr:uid="{00000000-0002-0000-0100-000004000000}"/>
    <dataValidation type="list" allowBlank="1" showErrorMessage="1" error="Incorrect entry, please re-try." sqref="R80" xr:uid="{00000000-0002-0000-0100-000005000000}">
      <formula1>ADAS01</formula1>
    </dataValidation>
    <dataValidation allowBlank="1" showInputMessage="1" showErrorMessage="1" error="Invalid data entry, please retry." prompt="This information will determine, in part, the applicability of BREEAM issue Ene07 and the number of credits available for BREEAM issue Hea02, when the criteria have been finalised for laboratory facilities." sqref="P43" xr:uid="{00000000-0002-0000-0100-000006000000}"/>
    <dataValidation type="list" allowBlank="1" showErrorMessage="1" error="Invalid data entry, please retry." sqref="F21" xr:uid="{00000000-0002-0000-0100-000007000000}">
      <formula1>AD_Labsize_list</formula1>
    </dataValidation>
    <dataValidation type="list" showErrorMessage="1" error="Invalid data entry, please retry." sqref="F16:F17" xr:uid="{00000000-0002-0000-0100-000009000000}">
      <formula1>AD_YesNo</formula1>
    </dataValidation>
    <dataValidation type="list" allowBlank="1" showErrorMessage="1" error="Invalid data entry, please retry." sqref="F18:F19 P69 F22:F24 F26:F28" xr:uid="{00000000-0002-0000-0100-00000A000000}">
      <formula1>AD_YesNo</formula1>
    </dataValidation>
    <dataValidation type="list" allowBlank="1" showInputMessage="1" showErrorMessage="1" sqref="P64" xr:uid="{00000000-0002-0000-0100-00000B000000}">
      <formula1>TRA01_BuildType</formula1>
    </dataValidation>
    <dataValidation allowBlank="1" showInputMessage="1" showErrorMessage="1" prompt="Insert an electornic signature here." sqref="C61" xr:uid="{00000000-0002-0000-0100-00000C000000}"/>
    <dataValidation type="list" allowBlank="1" showInputMessage="1" showErrorMessage="1" error="Invalid data entry, please re-try" sqref="R81" xr:uid="{00000000-0002-0000-0100-00000D000000}">
      <formula1>AD_BREEAM_stage</formula1>
    </dataValidation>
    <dataValidation allowBlank="1" showInputMessage="1" showErrorMessage="1" error="Invalid data entry, please retry." sqref="F30:F32" xr:uid="{00000000-0002-0000-0100-00000E000000}"/>
    <dataValidation type="list" allowBlank="1" showInputMessage="1" showErrorMessage="1" error="Invalid data entry, please re-try" sqref="R82" xr:uid="{00000000-0002-0000-0100-000010000000}">
      <formula1>$Q$8</formula1>
    </dataValidation>
    <dataValidation allowBlank="1" showErrorMessage="1" prompt=" " sqref="F12" xr:uid="{00000000-0002-0000-0100-000011000000}"/>
    <dataValidation allowBlank="1" showInputMessage="1" showErrorMessage="1" prompt="Bruksareal (BRA) er arealet innenfor omsluttede vegger, ref NS 3940:2012" sqref="E12" xr:uid="{00000000-0002-0000-0100-000012000000}"/>
    <dataValidation allowBlank="1" showInputMessage="1" showErrorMessage="1" prompt="Bruttoareal (BTA) er arealet begrenset av ytterveggens utside eller midt i delevegg, ref NS 3940:2012" sqref="E13" xr:uid="{00000000-0002-0000-0100-000013000000}"/>
    <dataValidation allowBlank="1" showInputMessage="1" showErrorMessage="1" prompt="Det er ingen definisjon av BRAs (salgbart bruksareal) iht. NS 3940:2012. BRAs er den enkelte leilighets BRA, det vil si areal innenfor omsluttende vegger i leiligheten. " sqref="E14" xr:uid="{00000000-0002-0000-0100-000014000000}"/>
    <dataValidation type="list" allowBlank="1" showErrorMessage="1" error="Please review, your data entry is invalid." sqref="F6" xr:uid="{00000000-0002-0000-0100-000015000000}">
      <formula1>$O$5:$O$13</formula1>
    </dataValidation>
    <dataValidation type="list" allowBlank="1" showInputMessage="1" showErrorMessage="1" error="Invalid data entry, please retry." prompt="This information determines the applicability of BREEAM issue Ene02a." sqref="G77:I77 Q42" xr:uid="{00000000-0002-0000-0100-000017000000}">
      <formula1>AD_YesNo</formula1>
    </dataValidation>
    <dataValidation allowBlank="1" showErrorMessage="1" prompt="Please state the company name." sqref="B35" xr:uid="{00000000-0002-0000-0100-000019000000}"/>
    <dataValidation allowBlank="1" showInputMessage="1" showErrorMessage="1" promptTitle="Building description" prompt="Include a brief description og the building (layout, number of floors, etc.). Indicate what is included and if there are any areas excluded from the assessment." sqref="E35:F35" xr:uid="{00000000-0002-0000-0100-00001B000000}"/>
    <dataValidation type="list" allowBlank="1" showErrorMessage="1" error="Please review, your data entry is invalid." sqref="F5" xr:uid="{00000000-0002-0000-0100-00000F000000}">
      <formula1>$L$5:$L$17</formula1>
    </dataValidation>
    <dataValidation type="list" allowBlank="1" showErrorMessage="1" error="Invalid data entry, please retry." sqref="F20" xr:uid="{7FC0A853-413C-49C1-B2DE-3EAE9BFE3F89}">
      <formula1>$Q$51:$Q$54</formula1>
    </dataValidation>
    <dataValidation type="list" allowBlank="1" showErrorMessage="1" error="Invalid data entry, please retry." sqref="F25" xr:uid="{10067917-375C-485B-8027-3530AE81B846}">
      <formula1>$J$30:$J$31</formula1>
    </dataValidation>
    <dataValidation type="list" allowBlank="1" showErrorMessage="1" error="Incorrect entry, please retry." sqref="F7" xr:uid="{00000000-0002-0000-0100-000016000000}">
      <formula1>$Q$11:$Q$13</formula1>
    </dataValidation>
  </dataValidations>
  <printOptions horizontalCentered="1"/>
  <pageMargins left="0.23622047244094491" right="0.23622047244094491" top="0.32" bottom="0.41" header="0.31496062992125984" footer="0.31496062992125984"/>
  <pageSetup paperSize="9" scale="52" orientation="landscape" errors="blank" r:id="rId1"/>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1" id="{240F26BE-6750-453C-920D-0E16B2A89131}">
            <xm:f>'Manuell filtrering og justering'!$I$2='Manuell filtrering og justering'!$J$2</xm:f>
            <x14:dxf>
              <border>
                <top style="thin">
                  <color theme="0"/>
                </top>
                <vertical/>
                <horizontal/>
              </border>
            </x14:dxf>
          </x14:cfRule>
          <xm:sqref>B17</xm:sqref>
        </x14:conditionalFormatting>
        <x14:conditionalFormatting xmlns:xm="http://schemas.microsoft.com/office/excel/2006/main">
          <x14:cfRule type="expression" priority="20" id="{15BD1200-67FE-42E0-955A-22C5BFC5B389}">
            <xm:f>'Manuell filtrering og justering'!$I$2='Manuell filtrering og justering'!$J$2</xm:f>
            <x14:dxf>
              <border>
                <top style="thin">
                  <color auto="1"/>
                </top>
                <vertical/>
                <horizontal/>
              </border>
            </x14:dxf>
          </x14:cfRule>
          <xm:sqref>C17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383"/>
  <sheetViews>
    <sheetView zoomScale="85" zoomScaleNormal="85" zoomScalePageLayoutView="30" workbookViewId="0">
      <pane ySplit="9" topLeftCell="A10" activePane="bottomLeft" state="frozen"/>
      <selection pane="bottomLeft" activeCell="L13" sqref="L13"/>
    </sheetView>
  </sheetViews>
  <sheetFormatPr defaultColWidth="9.140625" defaultRowHeight="15" x14ac:dyDescent="0.25"/>
  <cols>
    <col min="1" max="1" width="3.28515625" style="19" customWidth="1"/>
    <col min="2" max="2" width="3.42578125" style="19" customWidth="1"/>
    <col min="3" max="3" width="7.85546875" style="19" customWidth="1"/>
    <col min="4" max="4" width="9.5703125" style="64" hidden="1" customWidth="1"/>
    <col min="5" max="5" width="62" style="1" customWidth="1"/>
    <col min="6" max="6" width="9.42578125" style="1" customWidth="1"/>
    <col min="7" max="7" width="7.42578125" style="1" customWidth="1"/>
    <col min="8" max="8" width="9.5703125" style="1" customWidth="1"/>
    <col min="9" max="9" width="13.140625" style="1" customWidth="1"/>
    <col min="10" max="10" width="8.140625" style="1" customWidth="1"/>
    <col min="11" max="11" width="5.140625" style="1" customWidth="1"/>
    <col min="12" max="12" width="31.5703125" style="769" customWidth="1"/>
    <col min="13" max="13" width="1" style="831" customWidth="1"/>
    <col min="14" max="14" width="8.5703125" style="772" customWidth="1"/>
    <col min="15" max="15" width="9.5703125" style="772" customWidth="1"/>
    <col min="16" max="16" width="12.42578125" style="772" bestFit="1" customWidth="1"/>
    <col min="17" max="17" width="9" style="772" customWidth="1"/>
    <col min="18" max="18" width="4.85546875" style="772" customWidth="1"/>
    <col min="19" max="19" width="28.140625" style="772" customWidth="1"/>
    <col min="20" max="20" width="1" style="133" customWidth="1"/>
    <col min="21" max="22" width="9.28515625" style="262" customWidth="1"/>
    <col min="23" max="23" width="12.42578125" style="262" bestFit="1" customWidth="1"/>
    <col min="24" max="24" width="7.7109375" style="262" customWidth="1"/>
    <col min="25" max="25" width="4.85546875" style="262" customWidth="1"/>
    <col min="26" max="26" width="29.7109375" style="772" customWidth="1"/>
    <col min="27" max="27" width="1" style="23" hidden="1" customWidth="1"/>
    <col min="28" max="28" width="22.28515625" style="23" hidden="1" customWidth="1"/>
    <col min="29" max="29" width="6.42578125" style="132" hidden="1" customWidth="1"/>
    <col min="30" max="30" width="15.7109375" style="261" hidden="1" customWidth="1"/>
    <col min="31" max="32" width="9.140625" style="261" hidden="1" customWidth="1"/>
    <col min="33" max="34" width="9.140625" style="1" hidden="1" customWidth="1"/>
    <col min="35" max="35" width="7.140625" style="1" hidden="1" customWidth="1"/>
    <col min="36" max="36" width="43" style="1" hidden="1" customWidth="1"/>
    <col min="37" max="37" width="11.85546875" style="1" hidden="1" customWidth="1"/>
    <col min="38" max="38" width="27" style="1" hidden="1" customWidth="1"/>
    <col min="39" max="42" width="8.5703125" style="1" hidden="1" customWidth="1"/>
    <col min="43" max="51" width="9.140625" style="1" hidden="1" customWidth="1"/>
    <col min="52" max="52" width="7" style="1" hidden="1" customWidth="1"/>
    <col min="53" max="53" width="9.140625" style="1" hidden="1" customWidth="1"/>
    <col min="54" max="86" width="9.140625" style="1" customWidth="1"/>
    <col min="87" max="16384" width="9.140625" style="1"/>
  </cols>
  <sheetData>
    <row r="1" spans="1:58" ht="42" customHeight="1" x14ac:dyDescent="0.35">
      <c r="A1" s="1083"/>
      <c r="B1" s="1083"/>
      <c r="C1" s="1083"/>
      <c r="D1" s="746"/>
      <c r="E1" s="267" t="s">
        <v>973</v>
      </c>
      <c r="F1" s="268"/>
      <c r="G1" s="268"/>
      <c r="H1" s="267"/>
      <c r="I1" s="268"/>
      <c r="J1" s="268"/>
      <c r="K1" s="268"/>
      <c r="L1" s="1174"/>
      <c r="M1" s="268"/>
      <c r="N1" s="268"/>
      <c r="O1" s="268"/>
      <c r="P1" s="268"/>
      <c r="Q1" s="268"/>
      <c r="R1" s="268"/>
      <c r="S1" s="268"/>
      <c r="T1" s="268"/>
      <c r="U1" s="268"/>
      <c r="V1" s="268"/>
      <c r="W1" s="268"/>
      <c r="X1" s="268"/>
      <c r="Y1" s="268"/>
      <c r="Z1" s="645" t="str">
        <f>IF('Manuell filtrering og justering'!I2='Manuell filtrering og justering'!J2,"Bespoke","")</f>
        <v/>
      </c>
      <c r="AA1" s="268"/>
      <c r="AB1" s="268"/>
      <c r="AC1" s="268"/>
      <c r="AD1" s="1"/>
      <c r="AE1" s="1"/>
      <c r="AF1" s="1"/>
      <c r="AI1" s="677" t="s">
        <v>428</v>
      </c>
      <c r="AJ1" s="676"/>
      <c r="AK1" s="676"/>
      <c r="AL1" s="676"/>
      <c r="AM1" s="676"/>
      <c r="AN1" s="676"/>
      <c r="AO1" s="676"/>
      <c r="AP1" s="676"/>
      <c r="AQ1" s="676"/>
      <c r="AR1" s="676"/>
      <c r="AS1" s="676"/>
      <c r="AT1" s="676"/>
      <c r="AU1" s="676"/>
      <c r="AV1" s="676"/>
      <c r="AW1" s="676"/>
      <c r="AX1" s="676"/>
      <c r="AY1" s="676"/>
      <c r="AZ1" s="676"/>
      <c r="BA1" s="676"/>
    </row>
    <row r="2" spans="1:58" s="64" customFormat="1" ht="6" customHeight="1" x14ac:dyDescent="0.25">
      <c r="A2" s="19"/>
      <c r="B2" s="19"/>
      <c r="C2" s="19"/>
      <c r="E2" s="100">
        <v>1</v>
      </c>
      <c r="F2" s="101">
        <v>2</v>
      </c>
      <c r="G2" s="100">
        <v>3</v>
      </c>
      <c r="H2" s="101">
        <v>4</v>
      </c>
      <c r="I2" s="100">
        <v>5</v>
      </c>
      <c r="J2" s="101">
        <v>6</v>
      </c>
      <c r="K2" s="100">
        <v>7</v>
      </c>
      <c r="L2" s="101">
        <v>8</v>
      </c>
      <c r="M2" s="100">
        <v>9</v>
      </c>
      <c r="N2" s="101">
        <v>10</v>
      </c>
      <c r="O2" s="100">
        <v>11</v>
      </c>
      <c r="P2" s="101">
        <v>12</v>
      </c>
      <c r="Q2" s="100">
        <v>13</v>
      </c>
      <c r="R2" s="101">
        <v>14</v>
      </c>
      <c r="S2" s="100">
        <v>15</v>
      </c>
      <c r="T2" s="101">
        <v>16</v>
      </c>
      <c r="U2" s="100">
        <v>17</v>
      </c>
      <c r="V2" s="101">
        <v>18</v>
      </c>
      <c r="W2" s="100">
        <v>19</v>
      </c>
      <c r="X2" s="101">
        <v>20</v>
      </c>
      <c r="Y2" s="100">
        <v>21</v>
      </c>
      <c r="Z2" s="101">
        <v>22</v>
      </c>
      <c r="AA2" s="100">
        <v>23</v>
      </c>
      <c r="AB2" s="101">
        <v>24</v>
      </c>
      <c r="AC2" s="100">
        <v>25</v>
      </c>
      <c r="AD2" s="101">
        <v>26</v>
      </c>
      <c r="AE2" s="100">
        <v>27</v>
      </c>
      <c r="AF2" s="101">
        <v>28</v>
      </c>
      <c r="AG2" s="100">
        <v>29</v>
      </c>
      <c r="AH2" s="101">
        <v>30</v>
      </c>
      <c r="AI2" s="100">
        <v>31</v>
      </c>
      <c r="AJ2" s="101">
        <v>32</v>
      </c>
      <c r="AK2" s="100">
        <v>33</v>
      </c>
      <c r="AL2" s="101">
        <v>34</v>
      </c>
      <c r="AM2" s="100">
        <v>35</v>
      </c>
      <c r="AN2" s="101">
        <v>36</v>
      </c>
      <c r="AO2" s="100">
        <v>37</v>
      </c>
      <c r="AP2" s="101">
        <v>38</v>
      </c>
      <c r="AQ2" s="100">
        <v>39</v>
      </c>
      <c r="AR2" s="101">
        <v>40</v>
      </c>
      <c r="AS2" s="100">
        <v>41</v>
      </c>
      <c r="AT2" s="101">
        <v>42</v>
      </c>
      <c r="AU2" s="100">
        <v>43</v>
      </c>
      <c r="AV2" s="101">
        <v>44</v>
      </c>
      <c r="AW2" s="100">
        <v>45</v>
      </c>
      <c r="AX2" s="101">
        <v>46</v>
      </c>
      <c r="AY2" s="100">
        <v>47</v>
      </c>
      <c r="AZ2" s="101">
        <v>48</v>
      </c>
      <c r="BA2" s="100">
        <v>49</v>
      </c>
    </row>
    <row r="3" spans="1:58" ht="20.25" customHeight="1" x14ac:dyDescent="0.4">
      <c r="A3" s="1026"/>
      <c r="B3" s="1026"/>
      <c r="C3" s="1026"/>
      <c r="D3" s="747"/>
      <c r="E3" s="285"/>
      <c r="F3" s="102"/>
      <c r="G3" s="1273" t="s">
        <v>218</v>
      </c>
      <c r="H3" s="1274"/>
      <c r="I3" s="1274"/>
      <c r="J3" s="1274"/>
      <c r="K3" s="1274"/>
      <c r="L3" s="750"/>
      <c r="M3" s="814"/>
      <c r="N3" s="1273" t="s">
        <v>223</v>
      </c>
      <c r="O3" s="1274"/>
      <c r="P3" s="1274"/>
      <c r="Q3" s="1274"/>
      <c r="R3" s="1274"/>
      <c r="S3" s="1275"/>
      <c r="T3" s="813"/>
      <c r="U3" s="1273" t="s">
        <v>224</v>
      </c>
      <c r="V3" s="1274"/>
      <c r="W3" s="1274"/>
      <c r="X3" s="1274"/>
      <c r="Y3" s="1274"/>
      <c r="Z3" s="1275"/>
      <c r="AA3" s="683"/>
      <c r="AB3" s="693" t="s">
        <v>426</v>
      </c>
      <c r="AC3" s="646"/>
      <c r="AD3" s="646"/>
      <c r="AE3" s="646"/>
      <c r="AF3" s="647"/>
      <c r="AJ3" s="3" t="s">
        <v>405</v>
      </c>
      <c r="AK3" s="1" t="str">
        <f>ADPT</f>
        <v>New Construction (fully fitted)</v>
      </c>
    </row>
    <row r="4" spans="1:58" s="2" customFormat="1" ht="15" customHeight="1" x14ac:dyDescent="0.25">
      <c r="A4" s="1026"/>
      <c r="B4" s="1026"/>
      <c r="C4" s="1026"/>
      <c r="D4" s="747"/>
      <c r="E4" s="103" t="s">
        <v>22</v>
      </c>
      <c r="F4" s="98"/>
      <c r="G4" s="104" t="s">
        <v>315</v>
      </c>
      <c r="H4" s="105"/>
      <c r="I4" s="1030"/>
      <c r="J4" s="1030"/>
      <c r="K4" s="1031"/>
      <c r="L4" s="106" t="str">
        <f>BP_BREEAMRating</f>
        <v>Unclassified</v>
      </c>
      <c r="M4" s="751"/>
      <c r="N4" s="943" t="str">
        <f>IF(S8=Poeng!C275,Poeng!D275,Poeng!E275)</f>
        <v>To activate select YES in cell S8</v>
      </c>
      <c r="O4" s="815"/>
      <c r="P4" s="815"/>
      <c r="Q4" s="815"/>
      <c r="R4" s="815"/>
      <c r="S4" s="816" t="str">
        <f>IF(S8=AD_no,"",Poeng!BG262)</f>
        <v/>
      </c>
      <c r="T4" s="271"/>
      <c r="U4" s="945" t="str">
        <f>IF(Z8=Poeng!C275,Poeng!D276,Poeng!E276)</f>
        <v>To activate select YES in cell Z8</v>
      </c>
      <c r="V4" s="817"/>
      <c r="W4" s="817"/>
      <c r="X4" s="817"/>
      <c r="Y4" s="817"/>
      <c r="Z4" s="816" t="str">
        <f>IF(Z8=AD_no,"",Poeng!BJ262)</f>
        <v/>
      </c>
      <c r="AA4" s="98"/>
      <c r="AB4" s="1276" t="s">
        <v>462</v>
      </c>
      <c r="AC4" s="107"/>
      <c r="AD4" s="37"/>
      <c r="AE4" s="37"/>
      <c r="AF4" s="37"/>
      <c r="AG4" s="37"/>
      <c r="AJ4" s="46" t="str">
        <f>IF(OR(AK3=AK4,AK3=AK5),ais_yes,ais_no)</f>
        <v>Nei</v>
      </c>
      <c r="AK4" s="2" t="str">
        <f>ADPT02</f>
        <v>New Construction (shell only)</v>
      </c>
      <c r="AU4" s="20"/>
      <c r="AV4" s="20"/>
      <c r="AW4" s="20"/>
      <c r="AX4" s="20"/>
    </row>
    <row r="5" spans="1:58" s="2" customFormat="1" ht="15" customHeight="1" x14ac:dyDescent="0.25">
      <c r="A5" s="1026"/>
      <c r="B5" s="1026"/>
      <c r="C5" s="1026"/>
      <c r="D5" s="747"/>
      <c r="E5" s="108" t="str">
        <f>IF(ISBLANK(ADBN),"",ADBN)</f>
        <v/>
      </c>
      <c r="F5" s="98"/>
      <c r="G5" s="109" t="s">
        <v>87</v>
      </c>
      <c r="H5" s="110"/>
      <c r="I5" s="1032"/>
      <c r="J5" s="1032"/>
      <c r="K5" s="111"/>
      <c r="L5" s="272">
        <f>Score_Initial</f>
        <v>0</v>
      </c>
      <c r="M5" s="751"/>
      <c r="N5" s="944" t="s">
        <v>87</v>
      </c>
      <c r="O5" s="818"/>
      <c r="P5" s="818"/>
      <c r="Q5" s="818"/>
      <c r="R5" s="818"/>
      <c r="S5" s="819" t="str">
        <f>IF(S8=AD_no,"",Score_design)</f>
        <v/>
      </c>
      <c r="T5" s="271"/>
      <c r="U5" s="946" t="s">
        <v>87</v>
      </c>
      <c r="V5" s="820"/>
      <c r="W5" s="820"/>
      <c r="X5" s="820"/>
      <c r="Y5" s="820"/>
      <c r="Z5" s="819" t="str">
        <f>IF(Z8=AD_no,"",Score_const)</f>
        <v/>
      </c>
      <c r="AA5" s="98"/>
      <c r="AB5" s="1277"/>
      <c r="AC5" s="107"/>
      <c r="AD5" s="274"/>
      <c r="AE5" s="274"/>
      <c r="AF5" s="274"/>
      <c r="AG5" s="274"/>
      <c r="AJ5" s="615"/>
      <c r="AK5" s="651" t="str">
        <f>ADPT04</f>
        <v>Major Refurbishment (shell only)</v>
      </c>
    </row>
    <row r="6" spans="1:58" s="2" customFormat="1" ht="15" customHeight="1" x14ac:dyDescent="0.25">
      <c r="A6" s="1026"/>
      <c r="B6" s="1026"/>
      <c r="C6" s="1026"/>
      <c r="D6" s="747"/>
      <c r="E6" s="1167" t="str">
        <f>"Pre-Assessment Estimator Version: "&amp;TVC_current_version</f>
        <v>Pre-Assessment Estimator Version: 1.2</v>
      </c>
      <c r="F6" s="98"/>
      <c r="G6" s="109" t="s">
        <v>82</v>
      </c>
      <c r="H6" s="110"/>
      <c r="I6" s="1032"/>
      <c r="J6" s="1032"/>
      <c r="K6" s="111"/>
      <c r="L6" s="112" t="str">
        <f>BP_MinStandards</f>
        <v>Unclassified</v>
      </c>
      <c r="M6" s="751"/>
      <c r="N6" s="944" t="s">
        <v>82</v>
      </c>
      <c r="O6" s="818"/>
      <c r="P6" s="818"/>
      <c r="Q6" s="818"/>
      <c r="R6" s="818"/>
      <c r="S6" s="821" t="str">
        <f>IF(S8=AD_no,"",BP_MinStandards_design)</f>
        <v/>
      </c>
      <c r="T6" s="271"/>
      <c r="U6" s="946" t="s">
        <v>82</v>
      </c>
      <c r="V6" s="820"/>
      <c r="W6" s="820"/>
      <c r="X6" s="820"/>
      <c r="Y6" s="820"/>
      <c r="Z6" s="821" t="str">
        <f>IF(Z8=AD_no,"",BP_MinStandards_const)</f>
        <v/>
      </c>
      <c r="AA6" s="98"/>
      <c r="AB6" s="1277"/>
      <c r="AC6" s="107"/>
      <c r="AD6" s="274"/>
      <c r="AE6" s="274"/>
      <c r="AF6" s="274"/>
      <c r="AG6" s="274"/>
      <c r="AJ6" s="615" t="s">
        <v>411</v>
      </c>
      <c r="AK6" s="367"/>
      <c r="AL6" s="367"/>
      <c r="AM6" s="367"/>
      <c r="AN6" s="367"/>
      <c r="AO6" s="367"/>
      <c r="AP6" s="367"/>
      <c r="AQ6" s="23"/>
      <c r="AR6" s="23"/>
      <c r="AS6" s="23"/>
      <c r="AT6" s="23"/>
      <c r="AU6" s="23"/>
      <c r="AV6" s="23"/>
      <c r="AW6" s="23"/>
      <c r="AX6" s="23"/>
      <c r="AY6" s="23"/>
      <c r="AZ6" s="23"/>
      <c r="BA6" s="23"/>
      <c r="BB6" s="23"/>
      <c r="BC6" s="23"/>
      <c r="BD6" s="420"/>
      <c r="BE6" s="420"/>
      <c r="BF6" s="420"/>
    </row>
    <row r="7" spans="1:58" s="2" customFormat="1" ht="15" customHeight="1" thickBot="1" x14ac:dyDescent="0.3">
      <c r="A7" s="1026"/>
      <c r="B7" s="1026"/>
      <c r="C7" s="1026"/>
      <c r="D7" s="747"/>
      <c r="E7" s="108" t="str">
        <f>ADPT</f>
        <v>New Construction (fully fitted)</v>
      </c>
      <c r="F7" s="98"/>
      <c r="G7" s="1164" t="s">
        <v>983</v>
      </c>
      <c r="H7" s="1165"/>
      <c r="I7" s="1165"/>
      <c r="J7" s="1165"/>
      <c r="K7" s="1165"/>
      <c r="L7" s="1166" t="str">
        <f>Poeng!BQ256</f>
        <v>No</v>
      </c>
      <c r="M7" s="751"/>
      <c r="N7" s="944" t="str">
        <f>G7</f>
        <v xml:space="preserve">Requirements for EU taxonomy </v>
      </c>
      <c r="O7" s="818"/>
      <c r="P7" s="818"/>
      <c r="Q7" s="818"/>
      <c r="R7" s="818"/>
      <c r="S7" s="821" t="str">
        <f>IF(S8=AD_no,"",Poeng!BR256)</f>
        <v/>
      </c>
      <c r="T7" s="271"/>
      <c r="U7" s="946" t="str">
        <f>G7</f>
        <v xml:space="preserve">Requirements for EU taxonomy </v>
      </c>
      <c r="V7" s="820"/>
      <c r="W7" s="820"/>
      <c r="X7" s="820"/>
      <c r="Y7" s="820"/>
      <c r="Z7" s="821" t="str">
        <f>IF(Z8=AD_no,"",Poeng!BS256)</f>
        <v/>
      </c>
      <c r="AA7" s="98"/>
      <c r="AB7" s="1277"/>
      <c r="AC7" s="107"/>
      <c r="AD7" s="274"/>
      <c r="AE7" s="274"/>
      <c r="AF7" s="274"/>
      <c r="AG7" s="274"/>
      <c r="AJ7" s="615"/>
      <c r="AK7" s="1058"/>
      <c r="AL7" s="1058"/>
      <c r="AM7" s="1058"/>
      <c r="AN7" s="1058"/>
      <c r="AO7" s="1058"/>
      <c r="AP7" s="1058"/>
      <c r="AQ7" s="23"/>
      <c r="AR7" s="23"/>
      <c r="AS7" s="23"/>
      <c r="AT7" s="23"/>
      <c r="AU7" s="23"/>
      <c r="AV7" s="23"/>
      <c r="AW7" s="23"/>
      <c r="AX7" s="23"/>
      <c r="AY7" s="23"/>
      <c r="AZ7" s="23"/>
      <c r="BA7" s="23"/>
      <c r="BB7" s="23"/>
      <c r="BC7" s="23"/>
      <c r="BD7" s="420"/>
      <c r="BE7" s="420"/>
      <c r="BF7" s="420"/>
    </row>
    <row r="8" spans="1:58" s="2" customFormat="1" ht="15" customHeight="1" x14ac:dyDescent="0.25">
      <c r="A8" s="19"/>
      <c r="B8" s="19"/>
      <c r="C8" s="19"/>
      <c r="D8" s="64"/>
      <c r="E8" s="1168" t="str">
        <f>IF(OR(Poeng!BE262=1,Poeng!BH262=1,Poeng!BK262=1),Poeng!AW267,"")</f>
        <v/>
      </c>
      <c r="F8" s="98"/>
      <c r="G8" s="113"/>
      <c r="H8" s="114"/>
      <c r="I8" s="115"/>
      <c r="J8" s="115"/>
      <c r="K8" s="115"/>
      <c r="L8" s="942"/>
      <c r="M8" s="751"/>
      <c r="N8" s="944" t="s">
        <v>304</v>
      </c>
      <c r="O8" s="818"/>
      <c r="P8" s="818"/>
      <c r="Q8" s="818"/>
      <c r="R8" s="818"/>
      <c r="S8" s="822" t="s">
        <v>14</v>
      </c>
      <c r="T8" s="271"/>
      <c r="U8" s="946" t="s">
        <v>304</v>
      </c>
      <c r="V8" s="820"/>
      <c r="W8" s="820"/>
      <c r="X8" s="820"/>
      <c r="Y8" s="820"/>
      <c r="Z8" s="822" t="s">
        <v>14</v>
      </c>
      <c r="AA8" s="98"/>
      <c r="AB8" s="1277"/>
      <c r="AC8" s="107"/>
      <c r="AD8" s="1271" t="s">
        <v>258</v>
      </c>
      <c r="AE8" s="1272"/>
      <c r="AF8" s="1272"/>
      <c r="AG8" s="274"/>
      <c r="AJ8" s="655" t="str">
        <f>IF(ADBT0=ADBT12,ais_no,ais_yes)</f>
        <v>Ja</v>
      </c>
      <c r="AK8" s="652"/>
      <c r="AL8" s="652"/>
      <c r="AM8" s="652"/>
      <c r="AN8" s="658"/>
      <c r="AO8" s="658"/>
      <c r="AP8" s="658"/>
      <c r="AQ8" s="23"/>
      <c r="AR8" s="23"/>
      <c r="AS8" s="23"/>
      <c r="AT8" s="23"/>
      <c r="AU8" s="23"/>
      <c r="AV8" s="23"/>
      <c r="AW8" s="23"/>
      <c r="AX8" s="23"/>
      <c r="AY8" s="23"/>
      <c r="AZ8" s="23"/>
      <c r="BA8" s="23"/>
      <c r="BB8" s="23"/>
      <c r="BC8" s="23"/>
      <c r="BD8" s="37"/>
      <c r="BE8" s="37"/>
      <c r="BF8" s="37"/>
    </row>
    <row r="9" spans="1:58" ht="30" customHeight="1" x14ac:dyDescent="0.3">
      <c r="A9" s="748" t="s">
        <v>220</v>
      </c>
      <c r="B9" s="748" t="s">
        <v>221</v>
      </c>
      <c r="C9" s="748"/>
      <c r="D9" s="748"/>
      <c r="E9" s="1219" t="s">
        <v>1031</v>
      </c>
      <c r="F9" s="270" t="s">
        <v>103</v>
      </c>
      <c r="G9" s="116" t="s">
        <v>45</v>
      </c>
      <c r="H9" s="117" t="s">
        <v>830</v>
      </c>
      <c r="I9" s="118" t="s">
        <v>885</v>
      </c>
      <c r="J9" s="269" t="s">
        <v>302</v>
      </c>
      <c r="K9" s="283" t="s">
        <v>262</v>
      </c>
      <c r="L9" s="284" t="s">
        <v>263</v>
      </c>
      <c r="M9" s="751"/>
      <c r="N9" s="894" t="s">
        <v>45</v>
      </c>
      <c r="O9" s="893" t="s">
        <v>830</v>
      </c>
      <c r="P9" s="893" t="s">
        <v>885</v>
      </c>
      <c r="Q9" s="119" t="s">
        <v>302</v>
      </c>
      <c r="R9" s="119" t="s">
        <v>262</v>
      </c>
      <c r="S9" s="120" t="s">
        <v>263</v>
      </c>
      <c r="T9" s="121"/>
      <c r="U9" s="894" t="s">
        <v>45</v>
      </c>
      <c r="V9" s="893" t="s">
        <v>830</v>
      </c>
      <c r="W9" s="893" t="s">
        <v>885</v>
      </c>
      <c r="X9" s="119" t="s">
        <v>302</v>
      </c>
      <c r="Y9" s="119" t="s">
        <v>262</v>
      </c>
      <c r="Z9" s="120" t="s">
        <v>263</v>
      </c>
      <c r="AA9" s="107"/>
      <c r="AB9" s="709" t="str">
        <f>IF(AJ4=ais_yes,"Shell/core compliance?","")</f>
        <v/>
      </c>
      <c r="AC9" s="107"/>
      <c r="AD9" s="72" t="s">
        <v>259</v>
      </c>
      <c r="AE9" s="71" t="s">
        <v>260</v>
      </c>
      <c r="AF9" s="71" t="s">
        <v>261</v>
      </c>
      <c r="AI9" s="70" t="s">
        <v>429</v>
      </c>
      <c r="AY9" s="23"/>
      <c r="AZ9" s="23"/>
      <c r="BA9" s="23"/>
      <c r="BB9" s="23"/>
      <c r="BC9" s="23"/>
      <c r="BD9" s="18"/>
      <c r="BE9" s="18"/>
      <c r="BF9" s="18"/>
    </row>
    <row r="10" spans="1:58" ht="34.5" customHeight="1" x14ac:dyDescent="0.25">
      <c r="A10" s="1091">
        <v>1</v>
      </c>
      <c r="B10" s="1090" t="s">
        <v>64</v>
      </c>
      <c r="C10" s="1089"/>
      <c r="D10" s="836"/>
      <c r="E10" s="882" t="s">
        <v>12</v>
      </c>
      <c r="F10" s="883"/>
      <c r="G10" s="884"/>
      <c r="H10" s="883"/>
      <c r="I10" s="883"/>
      <c r="J10" s="885"/>
      <c r="K10" s="886"/>
      <c r="L10" s="887"/>
      <c r="M10" s="823"/>
      <c r="N10" s="824"/>
      <c r="O10" s="762"/>
      <c r="P10" s="762"/>
      <c r="Q10" s="825"/>
      <c r="R10" s="825"/>
      <c r="S10" s="754"/>
      <c r="T10" s="319"/>
      <c r="U10" s="333"/>
      <c r="V10" s="332"/>
      <c r="W10" s="332"/>
      <c r="X10" s="826"/>
      <c r="Y10" s="826"/>
      <c r="Z10" s="827"/>
      <c r="AA10" s="132"/>
      <c r="AB10" s="654"/>
      <c r="AC10" s="107">
        <f t="shared" ref="AC10:AC75" si="0">IF(F10="",1,IF(F10=0,2,1))</f>
        <v>1</v>
      </c>
      <c r="AD10" s="275">
        <v>0</v>
      </c>
      <c r="AE10" s="275">
        <v>0</v>
      </c>
      <c r="AF10" s="275">
        <v>0</v>
      </c>
      <c r="AI10" s="70"/>
      <c r="AJ10" s="678" t="s">
        <v>12</v>
      </c>
      <c r="AK10" s="653"/>
      <c r="AL10" s="653"/>
      <c r="AM10" s="653"/>
      <c r="AN10" s="653"/>
      <c r="AO10" s="653"/>
      <c r="AP10" s="653"/>
      <c r="AR10" s="653"/>
      <c r="AS10" s="653"/>
      <c r="AT10" s="653"/>
      <c r="AU10" s="653"/>
      <c r="AV10" s="657"/>
      <c r="AW10" s="657"/>
      <c r="AX10" s="657"/>
      <c r="AY10" s="23"/>
      <c r="AZ10" s="317"/>
      <c r="BA10" s="23"/>
      <c r="BB10" s="23"/>
      <c r="BC10" s="23"/>
      <c r="BD10" s="18"/>
      <c r="BE10" s="18"/>
      <c r="BF10" s="18"/>
    </row>
    <row r="11" spans="1:58" x14ac:dyDescent="0.25">
      <c r="A11" s="1091">
        <v>2</v>
      </c>
      <c r="B11" s="1090" t="s">
        <v>64</v>
      </c>
      <c r="C11" s="938" t="s">
        <v>94</v>
      </c>
      <c r="D11" s="837" t="s">
        <v>94</v>
      </c>
      <c r="E11" s="874" t="str">
        <f>VLOOKUP(D11,Poeng!$B$10:$Q$251,Poeng!D$1,FALSE)</f>
        <v>Man 01 Project brief and design</v>
      </c>
      <c r="F11" s="879">
        <f>VLOOKUP(D11,Poeng!$B$10:$AA$251,Poeng!AA$1,FALSE)</f>
        <v>5</v>
      </c>
      <c r="G11" s="1014"/>
      <c r="H11" s="880" t="str">
        <f>VLOOKUP(D11,Poeng!$B$10:$AH$251,Poeng!AH$1,FALSE)&amp;" c. "&amp;ROUND(VLOOKUP(D11,Poeng!$B$10:$AD$251,Poeng!AD$1,FALSE)*100,1)&amp;" %"</f>
        <v>0 c. 0 %</v>
      </c>
      <c r="I11" s="937" t="str">
        <f>VLOOKUP(D11,Poeng!$B$10:$BD$251,Poeng!BD$1,FALSE)</f>
        <v>N/A</v>
      </c>
      <c r="J11" s="888"/>
      <c r="K11" s="889"/>
      <c r="L11" s="890"/>
      <c r="M11" s="828"/>
      <c r="N11" s="1015"/>
      <c r="O11" s="891" t="str">
        <f>VLOOKUP(D11,Poeng!$B$10:$BB$251,Poeng!AI$1,FALSE)&amp;" c. "&amp;ROUND(VLOOKUP(D11,Poeng!$B$10:$BB$251,Poeng!AE$1,FALSE)*100,1)&amp;" %"</f>
        <v>0 c. 0 %</v>
      </c>
      <c r="P11" s="891" t="str">
        <f>VLOOKUP(D11,Poeng!$B$10:$BD$251,Poeng!BD$1,FALSE)</f>
        <v>N/A</v>
      </c>
      <c r="Q11" s="755"/>
      <c r="R11" s="756"/>
      <c r="S11" s="749"/>
      <c r="T11" s="319"/>
      <c r="U11" s="1015"/>
      <c r="V11" s="891" t="str">
        <f>VLOOKUP(D11,Poeng!$B$10:$BB$251,Poeng!AJ$1,FALSE)&amp;" c. "&amp;ROUND(VLOOKUP(D11,Poeng!$B$10:$BB$251,Poeng!AF$1,FALSE)*100,1)&amp;" %"</f>
        <v>0 c. 0 %</v>
      </c>
      <c r="W11" s="891" t="str">
        <f>VLOOKUP(D11,Poeng!$B$10:$BJ$251,Poeng!BJ$1,FALSE)</f>
        <v>N/A</v>
      </c>
      <c r="X11" s="81"/>
      <c r="Y11" s="80"/>
      <c r="Z11" s="749"/>
      <c r="AA11" s="133"/>
      <c r="AB11" s="648" t="s">
        <v>14</v>
      </c>
      <c r="AC11" s="107">
        <f t="shared" si="0"/>
        <v>1</v>
      </c>
      <c r="AD11" s="3" t="e">
        <f>VLOOKUP(K11,'Assessment Details'!$O$45:$P$48,2,FALSE)</f>
        <v>#N/A</v>
      </c>
      <c r="AE11" s="3" t="e">
        <f>VLOOKUP(R11,'Assessment Details'!$O$45:$P$48,2,FALSE)</f>
        <v>#N/A</v>
      </c>
      <c r="AF11" s="3" t="e">
        <f>VLOOKUP(Y11,'Assessment Details'!$O$45:$P$48,2,FALSE)</f>
        <v>#N/A</v>
      </c>
      <c r="AI11" s="70"/>
      <c r="AJ11" s="678" t="s">
        <v>308</v>
      </c>
      <c r="AK11" s="656" t="s">
        <v>14</v>
      </c>
      <c r="AL11" s="660" t="s">
        <v>13</v>
      </c>
      <c r="AM11" s="70"/>
      <c r="AN11" s="70"/>
      <c r="AO11" s="70"/>
      <c r="AP11" s="70"/>
      <c r="AS11" s="23" t="str">
        <f>IF($AJ$4=ais_no,AIS_NA,IF(AK11="",AIS_NA,AK11))</f>
        <v>N/A</v>
      </c>
      <c r="AT11" s="23" t="str">
        <f t="shared" ref="AT11:AT91" si="1">IF($AJ$4=ais_no,AIS_NA,IF(AL11="",AIS_NA,AL11))</f>
        <v>N/A</v>
      </c>
      <c r="AU11" s="23" t="str">
        <f t="shared" ref="AU11:AU91" si="2">IF($AJ$4=ais_no,AIS_NA,IF(AM11="",AIS_NA,AM11))</f>
        <v>N/A</v>
      </c>
      <c r="AV11" s="23"/>
      <c r="AW11" s="23"/>
      <c r="AX11" s="23"/>
      <c r="AY11" s="23"/>
      <c r="AZ11" s="648"/>
      <c r="BA11" s="23"/>
      <c r="BB11" s="23"/>
      <c r="BC11" s="23"/>
      <c r="BD11" s="18"/>
      <c r="BE11" s="18"/>
      <c r="BF11" s="18"/>
    </row>
    <row r="12" spans="1:58" x14ac:dyDescent="0.25">
      <c r="A12" s="1091">
        <v>3</v>
      </c>
      <c r="B12" s="1090" t="s">
        <v>64</v>
      </c>
      <c r="C12" s="1097" t="s">
        <v>94</v>
      </c>
      <c r="D12" s="19" t="s">
        <v>715</v>
      </c>
      <c r="E12" s="875" t="str">
        <f>VLOOKUP(D12,Poeng!$B$10:$Q$251,Poeng!D$1,FALSE)</f>
        <v>Planning project delivery</v>
      </c>
      <c r="F12" s="122">
        <f>VLOOKUP(D12,Poeng!$B$10:$AA$251,Poeng!AA$1,FALSE)</f>
        <v>1</v>
      </c>
      <c r="G12" s="43"/>
      <c r="H12" s="123">
        <f>VLOOKUP(D12,Poeng!$B$10:$AD$251,Poeng!AD$1,FALSE)</f>
        <v>0</v>
      </c>
      <c r="I12" s="124" t="str">
        <f>VLOOKUP(D12,Poeng!$B$10:$BD$251,Poeng!BD$1,FALSE)</f>
        <v>Very Good</v>
      </c>
      <c r="J12" s="80"/>
      <c r="K12" s="281"/>
      <c r="L12" s="809"/>
      <c r="M12" s="1112"/>
      <c r="N12" s="83"/>
      <c r="O12" s="123">
        <f>VLOOKUP(D12,Poeng!$B$10:$BB$251,Poeng!AE$1,FALSE)</f>
        <v>0</v>
      </c>
      <c r="P12" s="123" t="str">
        <f>VLOOKUP(D12,Poeng!$B$10:$BG$251,Poeng!BG$1,FALSE)</f>
        <v>Very Good</v>
      </c>
      <c r="Q12" s="755"/>
      <c r="R12" s="756"/>
      <c r="S12" s="749"/>
      <c r="T12" s="319"/>
      <c r="U12" s="83"/>
      <c r="V12" s="123">
        <f>VLOOKUP(D12,Poeng!$B$10:$BB$251,Poeng!AF$1,FALSE)</f>
        <v>0</v>
      </c>
      <c r="W12" s="123" t="str">
        <f>VLOOKUP(D12,Poeng!$B$10:$BJ$251,Poeng!BJ$1,FALSE)</f>
        <v>Very Good</v>
      </c>
      <c r="X12" s="81"/>
      <c r="Y12" s="80"/>
      <c r="Z12" s="749"/>
      <c r="AC12" s="107">
        <f t="shared" si="0"/>
        <v>1</v>
      </c>
      <c r="AD12" s="3" t="e">
        <f>VLOOKUP(K12,'Assessment Details'!$O$45:$P$48,2,FALSE)</f>
        <v>#N/A</v>
      </c>
      <c r="AE12" s="3" t="e">
        <f>VLOOKUP(R12,'Assessment Details'!$O$45:$P$48,2,FALSE)</f>
        <v>#N/A</v>
      </c>
      <c r="AF12" s="3" t="e">
        <f>VLOOKUP(Y12,'Assessment Details'!$O$45:$P$48,2,FALSE)</f>
        <v>#N/A</v>
      </c>
    </row>
    <row r="13" spans="1:58" x14ac:dyDescent="0.25">
      <c r="A13" s="1091">
        <v>4</v>
      </c>
      <c r="B13" s="1090" t="s">
        <v>64</v>
      </c>
      <c r="C13" s="1097" t="s">
        <v>94</v>
      </c>
      <c r="D13" s="19" t="s">
        <v>716</v>
      </c>
      <c r="E13" s="875" t="str">
        <f>VLOOKUP(D13,Poeng!$B$10:$Q$251,Poeng!D$1,FALSE)</f>
        <v xml:space="preserve">Climate gas calculation for whole building life cycle </v>
      </c>
      <c r="F13" s="122">
        <f>VLOOKUP(D13,Poeng!$B$10:$AA$251,Poeng!AA$1,FALSE)</f>
        <v>1</v>
      </c>
      <c r="G13" s="43"/>
      <c r="H13" s="123">
        <f>VLOOKUP(D13,Poeng!$B$10:$AD$251,Poeng!AD$1,FALSE)</f>
        <v>0</v>
      </c>
      <c r="I13" s="124" t="str">
        <f>VLOOKUP(D13,Poeng!$B$10:$BD$251,Poeng!BD$1,FALSE)</f>
        <v>Very Good</v>
      </c>
      <c r="J13" s="80"/>
      <c r="K13" s="281"/>
      <c r="L13" s="809"/>
      <c r="M13" s="1112"/>
      <c r="N13" s="83"/>
      <c r="O13" s="123">
        <f>VLOOKUP(D13,Poeng!$B$10:$BB$251,Poeng!AE$1,FALSE)</f>
        <v>0</v>
      </c>
      <c r="P13" s="123" t="str">
        <f>VLOOKUP(D13,Poeng!$B$10:$BG$251,Poeng!BG$1,FALSE)</f>
        <v>Very Good</v>
      </c>
      <c r="Q13" s="755"/>
      <c r="R13" s="756"/>
      <c r="S13" s="749"/>
      <c r="T13" s="319"/>
      <c r="U13" s="83"/>
      <c r="V13" s="123">
        <f>VLOOKUP(D13,Poeng!$B$10:$BB$251,Poeng!AF$1,FALSE)</f>
        <v>0</v>
      </c>
      <c r="W13" s="123" t="str">
        <f>VLOOKUP(D13,Poeng!$B$10:$BJ$251,Poeng!BJ$1,FALSE)</f>
        <v>Very Good</v>
      </c>
      <c r="X13" s="81"/>
      <c r="Y13" s="80"/>
      <c r="Z13" s="749"/>
      <c r="AC13" s="107">
        <f t="shared" si="0"/>
        <v>1</v>
      </c>
      <c r="AD13" s="3" t="e">
        <f>VLOOKUP(K13,'Assessment Details'!$O$45:$P$48,2,FALSE)</f>
        <v>#N/A</v>
      </c>
      <c r="AE13" s="3" t="e">
        <f>VLOOKUP(R13,'Assessment Details'!$O$45:$P$48,2,FALSE)</f>
        <v>#N/A</v>
      </c>
      <c r="AF13" s="3" t="e">
        <f>VLOOKUP(Y13,'Assessment Details'!$O$45:$P$48,2,FALSE)</f>
        <v>#N/A</v>
      </c>
    </row>
    <row r="14" spans="1:58" x14ac:dyDescent="0.25">
      <c r="A14" s="1091">
        <v>5</v>
      </c>
      <c r="B14" s="1090" t="s">
        <v>64</v>
      </c>
      <c r="C14" s="1097" t="s">
        <v>94</v>
      </c>
      <c r="D14" s="19" t="s">
        <v>717</v>
      </c>
      <c r="E14" s="875" t="str">
        <f>VLOOKUP(D14,Poeng!$B$10:$Q$251,Poeng!D$1,FALSE)</f>
        <v>Third party stakeholder consultation</v>
      </c>
      <c r="F14" s="122">
        <f>VLOOKUP(D14,Poeng!$B$10:$AA$251,Poeng!AA$1,FALSE)</f>
        <v>1</v>
      </c>
      <c r="G14" s="43"/>
      <c r="H14" s="123">
        <f>VLOOKUP(D14,Poeng!$B$10:$AD$251,Poeng!AD$1,FALSE)</f>
        <v>0</v>
      </c>
      <c r="I14" s="124" t="str">
        <f>VLOOKUP(D14,Poeng!$B$10:$BD$251,Poeng!BD$1,FALSE)</f>
        <v>N/A</v>
      </c>
      <c r="J14" s="80"/>
      <c r="K14" s="281"/>
      <c r="L14" s="749"/>
      <c r="M14" s="1112"/>
      <c r="N14" s="83"/>
      <c r="O14" s="123">
        <f>VLOOKUP(D14,Poeng!$B$10:$BB$251,Poeng!AE$1,FALSE)</f>
        <v>0</v>
      </c>
      <c r="P14" s="123" t="str">
        <f>VLOOKUP(D14,Poeng!$B$10:$BG$251,Poeng!BG$1,FALSE)</f>
        <v>N/A</v>
      </c>
      <c r="Q14" s="755"/>
      <c r="R14" s="756"/>
      <c r="S14" s="749"/>
      <c r="T14" s="319"/>
      <c r="U14" s="83"/>
      <c r="V14" s="123">
        <f>VLOOKUP(D14,Poeng!$B$10:$BB$251,Poeng!AF$1,FALSE)</f>
        <v>0</v>
      </c>
      <c r="W14" s="123" t="str">
        <f>VLOOKUP(D14,Poeng!$B$10:$BJ$251,Poeng!BJ$1,FALSE)</f>
        <v>N/A</v>
      </c>
      <c r="X14" s="81"/>
      <c r="Y14" s="80"/>
      <c r="Z14" s="749"/>
      <c r="AC14" s="107">
        <f t="shared" si="0"/>
        <v>1</v>
      </c>
      <c r="AD14" s="3" t="e">
        <f>VLOOKUP(K14,'Assessment Details'!$O$45:$P$48,2,FALSE)</f>
        <v>#N/A</v>
      </c>
      <c r="AE14" s="3" t="e">
        <f>VLOOKUP(R14,'Assessment Details'!$O$45:$P$48,2,FALSE)</f>
        <v>#N/A</v>
      </c>
      <c r="AF14" s="3" t="e">
        <f>VLOOKUP(Y14,'Assessment Details'!$O$45:$P$48,2,FALSE)</f>
        <v>#N/A</v>
      </c>
    </row>
    <row r="15" spans="1:58" x14ac:dyDescent="0.25">
      <c r="A15" s="1091">
        <v>6</v>
      </c>
      <c r="B15" s="1090" t="s">
        <v>64</v>
      </c>
      <c r="C15" s="1097" t="s">
        <v>94</v>
      </c>
      <c r="D15" s="19" t="s">
        <v>718</v>
      </c>
      <c r="E15" s="875" t="str">
        <f>VLOOKUP(D15,Poeng!$B$10:$Q$251,Poeng!D$1,FALSE)</f>
        <v>BREEAM-NOR AP (stage 2 and 3)</v>
      </c>
      <c r="F15" s="122">
        <f>VLOOKUP(D15,Poeng!$B$10:$AA$251,Poeng!AA$1,FALSE)</f>
        <v>1</v>
      </c>
      <c r="G15" s="43"/>
      <c r="H15" s="123">
        <f>VLOOKUP(D15,Poeng!$B$10:$AD$251,Poeng!AD$1,FALSE)</f>
        <v>0</v>
      </c>
      <c r="I15" s="124" t="str">
        <f>VLOOKUP(D15,Poeng!$B$10:$BD$251,Poeng!BD$1,FALSE)</f>
        <v>N/A</v>
      </c>
      <c r="J15" s="80"/>
      <c r="K15" s="281"/>
      <c r="L15" s="809"/>
      <c r="M15" s="1112"/>
      <c r="N15" s="83"/>
      <c r="O15" s="123">
        <f>VLOOKUP(D15,Poeng!$B$10:$BB$251,Poeng!AE$1,FALSE)</f>
        <v>0</v>
      </c>
      <c r="P15" s="123" t="str">
        <f>VLOOKUP(D15,Poeng!$B$10:$BG$251,Poeng!BG$1,FALSE)</f>
        <v>N/A</v>
      </c>
      <c r="Q15" s="755"/>
      <c r="R15" s="756"/>
      <c r="S15" s="749"/>
      <c r="T15" s="319"/>
      <c r="U15" s="83"/>
      <c r="V15" s="123">
        <f>VLOOKUP(D15,Poeng!$B$10:$BB$251,Poeng!AF$1,FALSE)</f>
        <v>0</v>
      </c>
      <c r="W15" s="123" t="str">
        <f>VLOOKUP(D15,Poeng!$B$10:$BJ$251,Poeng!BJ$1,FALSE)</f>
        <v>N/A</v>
      </c>
      <c r="X15" s="81"/>
      <c r="Y15" s="80"/>
      <c r="Z15" s="749"/>
      <c r="AC15" s="107">
        <f t="shared" si="0"/>
        <v>1</v>
      </c>
      <c r="AD15" s="3" t="e">
        <f>VLOOKUP(K15,'Assessment Details'!$O$45:$P$48,2,FALSE)</f>
        <v>#N/A</v>
      </c>
      <c r="AE15" s="3" t="e">
        <f>VLOOKUP(R15,'Assessment Details'!$O$45:$P$48,2,FALSE)</f>
        <v>#N/A</v>
      </c>
      <c r="AF15" s="3" t="e">
        <f>VLOOKUP(Y15,'Assessment Details'!$O$45:$P$48,2,FALSE)</f>
        <v>#N/A</v>
      </c>
    </row>
    <row r="16" spans="1:58" x14ac:dyDescent="0.25">
      <c r="A16" s="1091">
        <v>7</v>
      </c>
      <c r="B16" s="1090" t="s">
        <v>64</v>
      </c>
      <c r="C16" s="1097" t="s">
        <v>94</v>
      </c>
      <c r="D16" s="19" t="s">
        <v>719</v>
      </c>
      <c r="E16" s="875" t="str">
        <f>VLOOKUP(D16,Poeng!$B$10:$Q$251,Poeng!D$1,FALSE)</f>
        <v>BREEAM-NOR AP (stage 4)</v>
      </c>
      <c r="F16" s="122">
        <f>VLOOKUP(D16,Poeng!$B$10:$AA$251,Poeng!AA$1,FALSE)</f>
        <v>1</v>
      </c>
      <c r="G16" s="43"/>
      <c r="H16" s="123">
        <f>VLOOKUP(D16,Poeng!$B$10:$AD$251,Poeng!AD$1,FALSE)</f>
        <v>0</v>
      </c>
      <c r="I16" s="124" t="str">
        <f>VLOOKUP(D16,Poeng!$B$10:$BD$251,Poeng!BD$1,FALSE)</f>
        <v>N/A</v>
      </c>
      <c r="J16" s="80"/>
      <c r="K16" s="281"/>
      <c r="L16" s="809"/>
      <c r="M16" s="1112"/>
      <c r="N16" s="83"/>
      <c r="O16" s="123">
        <f>VLOOKUP(D16,Poeng!$B$10:$BB$251,Poeng!AE$1,FALSE)</f>
        <v>0</v>
      </c>
      <c r="P16" s="123" t="str">
        <f>VLOOKUP(D16,Poeng!$B$10:$BG$251,Poeng!BG$1,FALSE)</f>
        <v>N/A</v>
      </c>
      <c r="Q16" s="755"/>
      <c r="R16" s="756"/>
      <c r="S16" s="749"/>
      <c r="T16" s="319"/>
      <c r="U16" s="83"/>
      <c r="V16" s="123">
        <f>VLOOKUP(D16,Poeng!$B$10:$BB$251,Poeng!AF$1,FALSE)</f>
        <v>0</v>
      </c>
      <c r="W16" s="123" t="str">
        <f>VLOOKUP(D16,Poeng!$B$10:$BJ$251,Poeng!BJ$1,FALSE)</f>
        <v>N/A</v>
      </c>
      <c r="X16" s="81"/>
      <c r="Y16" s="80"/>
      <c r="Z16" s="749"/>
      <c r="AC16" s="107">
        <f t="shared" si="0"/>
        <v>1</v>
      </c>
      <c r="AD16" s="3" t="e">
        <f>VLOOKUP(K16,'Assessment Details'!$O$45:$P$48,2,FALSE)</f>
        <v>#N/A</v>
      </c>
      <c r="AE16" s="3" t="e">
        <f>VLOOKUP(R16,'Assessment Details'!$O$45:$P$48,2,FALSE)</f>
        <v>#N/A</v>
      </c>
      <c r="AF16" s="3" t="e">
        <f>VLOOKUP(Y16,'Assessment Details'!$O$45:$P$48,2,FALSE)</f>
        <v>#N/A</v>
      </c>
    </row>
    <row r="17" spans="1:58" x14ac:dyDescent="0.25">
      <c r="A17" s="1091">
        <v>8</v>
      </c>
      <c r="B17" s="1090" t="s">
        <v>64</v>
      </c>
      <c r="C17" s="938" t="s">
        <v>95</v>
      </c>
      <c r="D17" s="837" t="s">
        <v>95</v>
      </c>
      <c r="E17" s="874" t="str">
        <f>VLOOKUP(D17,Poeng!$B$10:$Q$251,Poeng!D$1,FALSE)</f>
        <v>Man 02 Life cycle cost and service life planning</v>
      </c>
      <c r="F17" s="879">
        <f>VLOOKUP(D17,Poeng!$B$10:$AA$251,Poeng!AA$1,FALSE)</f>
        <v>3</v>
      </c>
      <c r="G17" s="1015"/>
      <c r="H17" s="880" t="str">
        <f>VLOOKUP(D17,Poeng!$B$10:$AH$251,Poeng!AH$1,FALSE)&amp;" c. "&amp;ROUND(VLOOKUP(D17,Poeng!$B$10:$AD$251,Poeng!AD$1,FALSE)*100,1)&amp;" %"</f>
        <v>0 c. 0 %</v>
      </c>
      <c r="I17" s="938" t="str">
        <f>VLOOKUP(D17,Poeng!$B$10:$BD$251,Poeng!BD$1,FALSE)</f>
        <v>N/A</v>
      </c>
      <c r="J17" s="80"/>
      <c r="K17" s="281"/>
      <c r="L17" s="809"/>
      <c r="M17" s="829"/>
      <c r="N17" s="1015"/>
      <c r="O17" s="891" t="str">
        <f>VLOOKUP(D17,Poeng!$B$10:$BB$251,Poeng!AI$1,FALSE)&amp;" c. "&amp;ROUND(VLOOKUP(D17,Poeng!$B$10:$BB$251,Poeng!AE$1,FALSE)*100,1)&amp;" %"</f>
        <v>0 c. 0 %</v>
      </c>
      <c r="P17" s="123" t="str">
        <f>VLOOKUP(D17,Poeng!$B$10:$BG$251,Poeng!BG$1,FALSE)</f>
        <v>N/A</v>
      </c>
      <c r="Q17" s="755"/>
      <c r="R17" s="756"/>
      <c r="S17" s="749"/>
      <c r="T17" s="319"/>
      <c r="U17" s="1015"/>
      <c r="V17" s="891" t="str">
        <f>VLOOKUP(D17,Poeng!$B$10:$BB$251,Poeng!AJ$1,FALSE)&amp;" c. "&amp;ROUND(VLOOKUP(D17,Poeng!$B$10:$BB$251,Poeng!AF$1,FALSE)*100,1)&amp;" %"</f>
        <v>0 c. 0 %</v>
      </c>
      <c r="W17" s="123" t="str">
        <f>VLOOKUP(D17,Poeng!$B$10:$BJ$251,Poeng!BJ$1,FALSE)</f>
        <v>N/A</v>
      </c>
      <c r="X17" s="81"/>
      <c r="Y17" s="80"/>
      <c r="Z17" s="749"/>
      <c r="AA17" s="133"/>
      <c r="AB17" s="648" t="s">
        <v>14</v>
      </c>
      <c r="AC17" s="107">
        <f t="shared" si="0"/>
        <v>1</v>
      </c>
      <c r="AD17" s="3" t="e">
        <f>VLOOKUP(K17,'Assessment Details'!$O$45:$P$48,2,FALSE)</f>
        <v>#N/A</v>
      </c>
      <c r="AE17" s="3" t="e">
        <f>VLOOKUP(R17,'Assessment Details'!$O$45:$P$48,2,FALSE)</f>
        <v>#N/A</v>
      </c>
      <c r="AF17" s="3" t="e">
        <f>VLOOKUP(Y17,'Assessment Details'!$O$45:$P$48,2,FALSE)</f>
        <v>#N/A</v>
      </c>
      <c r="AI17" s="70"/>
      <c r="AJ17" s="678" t="s">
        <v>309</v>
      </c>
      <c r="AK17" s="656" t="s">
        <v>14</v>
      </c>
      <c r="AL17" s="660" t="s">
        <v>13</v>
      </c>
      <c r="AM17" s="70"/>
      <c r="AN17" s="70"/>
      <c r="AO17" s="70"/>
      <c r="AP17" s="70"/>
      <c r="AS17" s="23" t="str">
        <f t="shared" ref="AS17:AS91" si="3">IF($AJ$4=ais_no,AIS_NA,IF(AK17="",AIS_NA,AK17))</f>
        <v>N/A</v>
      </c>
      <c r="AT17" s="23" t="str">
        <f t="shared" si="1"/>
        <v>N/A</v>
      </c>
      <c r="AU17" s="23" t="str">
        <f t="shared" si="2"/>
        <v>N/A</v>
      </c>
      <c r="AV17" s="23"/>
      <c r="AW17" s="23"/>
      <c r="AX17" s="23"/>
      <c r="AY17" s="18"/>
      <c r="AZ17" s="648"/>
      <c r="BA17" s="18"/>
      <c r="BB17" s="18"/>
      <c r="BC17" s="18"/>
      <c r="BD17" s="18"/>
      <c r="BE17" s="18"/>
      <c r="BF17" s="18"/>
    </row>
    <row r="18" spans="1:58" x14ac:dyDescent="0.25">
      <c r="A18" s="1091">
        <v>9</v>
      </c>
      <c r="B18" s="1090" t="s">
        <v>64</v>
      </c>
      <c r="C18" s="1097" t="s">
        <v>95</v>
      </c>
      <c r="D18" s="837" t="s">
        <v>720</v>
      </c>
      <c r="E18" s="875" t="str">
        <f>VLOOKUP(D18,Poeng!$B$10:$Q$251,Poeng!D$1,FALSE)</f>
        <v>Elemental life cycle cost (LCC) and capital cost reporting</v>
      </c>
      <c r="F18" s="122">
        <f>VLOOKUP(D18,Poeng!$B$10:$AA$251,Poeng!AA$1,FALSE)</f>
        <v>2</v>
      </c>
      <c r="G18" s="43"/>
      <c r="H18" s="123">
        <f>VLOOKUP(D18,Poeng!$B$10:$AD$251,Poeng!AD$1,FALSE)</f>
        <v>0</v>
      </c>
      <c r="I18" s="124" t="str">
        <f>VLOOKUP(D18,Poeng!$B$10:$BD$251,Poeng!BD$1,FALSE)</f>
        <v>N/A</v>
      </c>
      <c r="J18" s="80"/>
      <c r="K18" s="281"/>
      <c r="L18" s="809"/>
      <c r="M18" s="829"/>
      <c r="N18" s="83"/>
      <c r="O18" s="123">
        <f>VLOOKUP(D18,Poeng!$B$10:$BB$251,Poeng!AE$1,FALSE)</f>
        <v>0</v>
      </c>
      <c r="P18" s="123" t="str">
        <f>VLOOKUP(D18,Poeng!$B$10:$BG$251,Poeng!BG$1,FALSE)</f>
        <v>N/A</v>
      </c>
      <c r="Q18" s="755"/>
      <c r="R18" s="756"/>
      <c r="S18" s="749"/>
      <c r="T18" s="319"/>
      <c r="U18" s="83"/>
      <c r="V18" s="123">
        <f>VLOOKUP(D18,Poeng!$B$10:$BB$251,Poeng!AF$1,FALSE)</f>
        <v>0</v>
      </c>
      <c r="W18" s="123" t="str">
        <f>VLOOKUP(D18,Poeng!$B$10:$BJ$251,Poeng!BJ$1,FALSE)</f>
        <v>N/A</v>
      </c>
      <c r="X18" s="81"/>
      <c r="Y18" s="80"/>
      <c r="Z18" s="749"/>
      <c r="AA18" s="133"/>
      <c r="AB18" s="648"/>
      <c r="AC18" s="107">
        <f t="shared" si="0"/>
        <v>1</v>
      </c>
      <c r="AD18" s="3" t="e">
        <f>VLOOKUP(K18,'Assessment Details'!$O$45:$P$48,2,FALSE)</f>
        <v>#N/A</v>
      </c>
      <c r="AE18" s="3" t="e">
        <f>VLOOKUP(R18,'Assessment Details'!$O$45:$P$48,2,FALSE)</f>
        <v>#N/A</v>
      </c>
      <c r="AF18" s="3" t="e">
        <f>VLOOKUP(Y18,'Assessment Details'!$O$45:$P$48,2,FALSE)</f>
        <v>#N/A</v>
      </c>
      <c r="AI18" s="70"/>
      <c r="AJ18" s="678"/>
      <c r="AK18" s="656"/>
      <c r="AL18" s="660"/>
      <c r="AM18" s="70"/>
      <c r="AN18" s="70"/>
      <c r="AO18" s="70"/>
      <c r="AP18" s="70"/>
      <c r="AS18" s="23"/>
      <c r="AT18" s="23"/>
      <c r="AU18" s="23"/>
      <c r="AV18" s="23"/>
      <c r="AW18" s="23"/>
      <c r="AX18" s="23"/>
      <c r="AY18" s="18"/>
      <c r="AZ18" s="648"/>
      <c r="BA18" s="18"/>
      <c r="BB18" s="18"/>
      <c r="BC18" s="18"/>
      <c r="BD18" s="18"/>
      <c r="BE18" s="18"/>
      <c r="BF18" s="18"/>
    </row>
    <row r="19" spans="1:58" x14ac:dyDescent="0.25">
      <c r="A19" s="1091">
        <v>10</v>
      </c>
      <c r="B19" s="1090" t="s">
        <v>64</v>
      </c>
      <c r="C19" s="1097" t="s">
        <v>95</v>
      </c>
      <c r="D19" s="837" t="s">
        <v>721</v>
      </c>
      <c r="E19" s="875" t="str">
        <f>VLOOKUP(D19,Poeng!$B$10:$Q$251,Poeng!D$1,FALSE)</f>
        <v>Component level life option appraisal</v>
      </c>
      <c r="F19" s="122">
        <f>VLOOKUP(D19,Poeng!$B$10:$AA$251,Poeng!AA$1,FALSE)</f>
        <v>1</v>
      </c>
      <c r="G19" s="43"/>
      <c r="H19" s="123">
        <f>VLOOKUP(D19,Poeng!$B$10:$AD$251,Poeng!AD$1,FALSE)</f>
        <v>0</v>
      </c>
      <c r="I19" s="124" t="str">
        <f>VLOOKUP(D19,Poeng!$B$10:$BD$251,Poeng!BD$1,FALSE)</f>
        <v>N/A</v>
      </c>
      <c r="J19" s="80"/>
      <c r="K19" s="281"/>
      <c r="L19" s="809"/>
      <c r="M19" s="829"/>
      <c r="N19" s="83"/>
      <c r="O19" s="123">
        <f>VLOOKUP(D19,Poeng!$B$10:$BB$251,Poeng!AE$1,FALSE)</f>
        <v>0</v>
      </c>
      <c r="P19" s="123" t="str">
        <f>VLOOKUP(D19,Poeng!$B$10:$BG$251,Poeng!BG$1,FALSE)</f>
        <v>N/A</v>
      </c>
      <c r="Q19" s="755"/>
      <c r="R19" s="756"/>
      <c r="S19" s="749"/>
      <c r="T19" s="319"/>
      <c r="U19" s="83"/>
      <c r="V19" s="123">
        <f>VLOOKUP(D19,Poeng!$B$10:$BB$251,Poeng!AF$1,FALSE)</f>
        <v>0</v>
      </c>
      <c r="W19" s="123" t="str">
        <f>VLOOKUP(D19,Poeng!$B$10:$BJ$251,Poeng!BJ$1,FALSE)</f>
        <v>N/A</v>
      </c>
      <c r="X19" s="81"/>
      <c r="Y19" s="80"/>
      <c r="Z19" s="749"/>
      <c r="AA19" s="133"/>
      <c r="AB19" s="648"/>
      <c r="AC19" s="107">
        <f t="shared" si="0"/>
        <v>1</v>
      </c>
      <c r="AD19" s="3" t="e">
        <f>VLOOKUP(K19,'Assessment Details'!$O$45:$P$48,2,FALSE)</f>
        <v>#N/A</v>
      </c>
      <c r="AE19" s="3" t="e">
        <f>VLOOKUP(R19,'Assessment Details'!$O$45:$P$48,2,FALSE)</f>
        <v>#N/A</v>
      </c>
      <c r="AF19" s="3" t="e">
        <f>VLOOKUP(Y19,'Assessment Details'!$O$45:$P$48,2,FALSE)</f>
        <v>#N/A</v>
      </c>
      <c r="AI19" s="70"/>
      <c r="AJ19" s="678"/>
      <c r="AK19" s="656"/>
      <c r="AL19" s="660"/>
      <c r="AM19" s="70"/>
      <c r="AN19" s="70"/>
      <c r="AO19" s="70"/>
      <c r="AP19" s="70"/>
      <c r="AS19" s="23"/>
      <c r="AT19" s="23"/>
      <c r="AU19" s="23"/>
      <c r="AV19" s="23"/>
      <c r="AW19" s="23"/>
      <c r="AX19" s="23"/>
      <c r="AY19" s="18"/>
      <c r="AZ19" s="648"/>
      <c r="BA19" s="18"/>
      <c r="BB19" s="18"/>
      <c r="BC19" s="18"/>
      <c r="BD19" s="18"/>
      <c r="BE19" s="18"/>
      <c r="BF19" s="18"/>
    </row>
    <row r="20" spans="1:58" x14ac:dyDescent="0.25">
      <c r="A20" s="1091">
        <v>11</v>
      </c>
      <c r="B20" s="1090" t="s">
        <v>64</v>
      </c>
      <c r="C20" s="938" t="s">
        <v>96</v>
      </c>
      <c r="D20" s="837" t="s">
        <v>96</v>
      </c>
      <c r="E20" s="874" t="str">
        <f>VLOOKUP(D20,Poeng!$B$10:$Q$251,Poeng!D$1,FALSE)</f>
        <v>Man 03 Responsible construction practices</v>
      </c>
      <c r="F20" s="879">
        <f>VLOOKUP(D20,Poeng!$B$10:$AA$251,Poeng!AA$1,FALSE)</f>
        <v>7</v>
      </c>
      <c r="G20" s="1015"/>
      <c r="H20" s="880" t="str">
        <f>VLOOKUP(D20,Poeng!$B$10:$AH$251,Poeng!AH$1,FALSE)&amp;" c. "&amp;ROUND(VLOOKUP(D20,Poeng!$B$10:$AD$251,Poeng!AD$1,FALSE)*100,1)&amp;" %"</f>
        <v>0 c. 0 %</v>
      </c>
      <c r="I20" s="938" t="str">
        <f>VLOOKUP(D20,Poeng!$B$10:$BD$251,Poeng!BD$1,FALSE)</f>
        <v>N/A</v>
      </c>
      <c r="J20" s="80"/>
      <c r="K20" s="281"/>
      <c r="L20" s="809"/>
      <c r="M20" s="828"/>
      <c r="N20" s="1015"/>
      <c r="O20" s="891" t="str">
        <f>VLOOKUP(D20,Poeng!$B$10:$BB$251,Poeng!AI$1,FALSE)&amp;" c. "&amp;ROUND(VLOOKUP(D20,Poeng!$B$10:$BB$251,Poeng!AE$1,FALSE)*100,1)&amp;" %"</f>
        <v>0 c. 0 %</v>
      </c>
      <c r="P20" s="123" t="str">
        <f>VLOOKUP(D20,Poeng!$B$10:$BG$251,Poeng!BG$1,FALSE)</f>
        <v>N/A</v>
      </c>
      <c r="Q20" s="755"/>
      <c r="R20" s="756"/>
      <c r="S20" s="749"/>
      <c r="T20" s="319"/>
      <c r="U20" s="1015"/>
      <c r="V20" s="891" t="str">
        <f>VLOOKUP(D20,Poeng!$B$10:$BB$251,Poeng!AJ$1,FALSE)&amp;" c. "&amp;ROUND(VLOOKUP(D20,Poeng!$B$10:$BB$251,Poeng!AF$1,FALSE)*100,1)&amp;" %"</f>
        <v>0 c. 0 %</v>
      </c>
      <c r="W20" s="123" t="str">
        <f>VLOOKUP(D20,Poeng!$B$10:$BJ$251,Poeng!BJ$1,FALSE)</f>
        <v>N/A</v>
      </c>
      <c r="X20" s="81"/>
      <c r="Y20" s="80"/>
      <c r="Z20" s="749"/>
      <c r="AA20" s="133"/>
      <c r="AB20" s="648" t="s">
        <v>15</v>
      </c>
      <c r="AC20" s="107">
        <f t="shared" si="0"/>
        <v>1</v>
      </c>
      <c r="AD20" s="3" t="e">
        <f>VLOOKUP(K20,'Assessment Details'!$O$45:$P$48,2,FALSE)</f>
        <v>#N/A</v>
      </c>
      <c r="AE20" s="3" t="e">
        <f>VLOOKUP(R20,'Assessment Details'!$O$45:$P$48,2,FALSE)</f>
        <v>#N/A</v>
      </c>
      <c r="AF20" s="3" t="e">
        <f>VLOOKUP(Y20,'Assessment Details'!$O$45:$P$48,2,FALSE)</f>
        <v>#N/A</v>
      </c>
      <c r="AI20" s="70"/>
      <c r="AJ20" s="678" t="s">
        <v>310</v>
      </c>
      <c r="AK20" s="70"/>
      <c r="AL20" s="70"/>
      <c r="AM20" s="70"/>
      <c r="AN20" s="70"/>
      <c r="AO20" s="70"/>
      <c r="AP20" s="70"/>
      <c r="AS20" s="23" t="str">
        <f t="shared" si="3"/>
        <v>N/A</v>
      </c>
      <c r="AT20" s="23" t="str">
        <f t="shared" si="1"/>
        <v>N/A</v>
      </c>
      <c r="AU20" s="23" t="str">
        <f t="shared" si="2"/>
        <v>N/A</v>
      </c>
      <c r="AV20" s="23"/>
      <c r="AW20" s="23"/>
      <c r="AX20" s="23"/>
      <c r="AY20" s="18"/>
      <c r="AZ20" s="648"/>
      <c r="BA20" s="18"/>
      <c r="BB20" s="18"/>
      <c r="BC20" s="18"/>
      <c r="BD20" s="18"/>
      <c r="BE20" s="18"/>
      <c r="BF20" s="18"/>
    </row>
    <row r="21" spans="1:58" x14ac:dyDescent="0.25">
      <c r="A21" s="1091">
        <v>12</v>
      </c>
      <c r="B21" s="1090" t="s">
        <v>64</v>
      </c>
      <c r="C21" s="1097" t="s">
        <v>96</v>
      </c>
      <c r="D21" s="19" t="s">
        <v>722</v>
      </c>
      <c r="E21" s="875" t="str">
        <f>VLOOKUP(D21,Poeng!$B$10:$Q$251,Poeng!D$1,FALSE)</f>
        <v>Environmental managment</v>
      </c>
      <c r="F21" s="122">
        <f>VLOOKUP(D21,Poeng!$B$10:$AA$251,Poeng!AA$1,FALSE)</f>
        <v>1</v>
      </c>
      <c r="G21" s="43"/>
      <c r="H21" s="123">
        <f>VLOOKUP(D21,Poeng!$B$10:$AD$251,Poeng!AD$1,FALSE)</f>
        <v>0</v>
      </c>
      <c r="I21" s="124" t="str">
        <f>VLOOKUP(D21,Poeng!$B$10:$BD$251,Poeng!BD$1,FALSE)</f>
        <v>N/A</v>
      </c>
      <c r="J21" s="80"/>
      <c r="K21" s="281"/>
      <c r="L21" s="809"/>
      <c r="M21" s="1112"/>
      <c r="N21" s="83"/>
      <c r="O21" s="123">
        <f>VLOOKUP(D21,Poeng!$B$10:$BB$251,Poeng!AE$1,FALSE)</f>
        <v>0</v>
      </c>
      <c r="P21" s="123" t="str">
        <f>VLOOKUP(D21,Poeng!$B$10:$BG$251,Poeng!BG$1,FALSE)</f>
        <v>N/A</v>
      </c>
      <c r="Q21" s="755"/>
      <c r="R21" s="756"/>
      <c r="S21" s="749"/>
      <c r="T21" s="319"/>
      <c r="U21" s="83"/>
      <c r="V21" s="123">
        <f>VLOOKUP(D21,Poeng!$B$10:$BB$251,Poeng!AF$1,FALSE)</f>
        <v>0</v>
      </c>
      <c r="W21" s="123" t="str">
        <f>VLOOKUP(D21,Poeng!$B$10:$BJ$251,Poeng!BJ$1,FALSE)</f>
        <v>N/A</v>
      </c>
      <c r="X21" s="81"/>
      <c r="Y21" s="80"/>
      <c r="Z21" s="749"/>
      <c r="AC21" s="107">
        <f t="shared" si="0"/>
        <v>1</v>
      </c>
      <c r="AD21" s="3" t="e">
        <f>VLOOKUP(K21,'Assessment Details'!$O$45:$P$48,2,FALSE)</f>
        <v>#N/A</v>
      </c>
      <c r="AE21" s="3" t="e">
        <f>VLOOKUP(R21,'Assessment Details'!$O$45:$P$48,2,FALSE)</f>
        <v>#N/A</v>
      </c>
      <c r="AF21" s="3" t="e">
        <f>VLOOKUP(Y21,'Assessment Details'!$O$45:$P$48,2,FALSE)</f>
        <v>#N/A</v>
      </c>
    </row>
    <row r="22" spans="1:58" x14ac:dyDescent="0.25">
      <c r="A22" s="1091">
        <v>13</v>
      </c>
      <c r="B22" s="1090" t="s">
        <v>64</v>
      </c>
      <c r="C22" s="1097" t="s">
        <v>96</v>
      </c>
      <c r="D22" s="19" t="s">
        <v>723</v>
      </c>
      <c r="E22" s="875" t="str">
        <f>VLOOKUP(D22,Poeng!$B$10:$Q$251,Poeng!D$1,FALSE)</f>
        <v>BREEAM-NOR AP and BREEAM performance targets (stage 5 and 6)</v>
      </c>
      <c r="F22" s="122">
        <f>VLOOKUP(D22,Poeng!$B$10:$AA$251,Poeng!AA$1,FALSE)</f>
        <v>1</v>
      </c>
      <c r="G22" s="43"/>
      <c r="H22" s="123">
        <f>VLOOKUP(D22,Poeng!$B$10:$AD$251,Poeng!AD$1,FALSE)</f>
        <v>0</v>
      </c>
      <c r="I22" s="124" t="str">
        <f>VLOOKUP(D22,Poeng!$B$10:$BD$251,Poeng!BD$1,FALSE)</f>
        <v>N/A</v>
      </c>
      <c r="J22" s="80"/>
      <c r="K22" s="281"/>
      <c r="L22" s="809"/>
      <c r="M22" s="1112"/>
      <c r="N22" s="83"/>
      <c r="O22" s="123">
        <f>VLOOKUP(D22,Poeng!$B$10:$BB$251,Poeng!AE$1,FALSE)</f>
        <v>0</v>
      </c>
      <c r="P22" s="123" t="str">
        <f>VLOOKUP(D22,Poeng!$B$10:$BG$251,Poeng!BG$1,FALSE)</f>
        <v>N/A</v>
      </c>
      <c r="Q22" s="755"/>
      <c r="R22" s="756"/>
      <c r="S22" s="749"/>
      <c r="T22" s="319"/>
      <c r="U22" s="83"/>
      <c r="V22" s="123">
        <f>VLOOKUP(D22,Poeng!$B$10:$BB$251,Poeng!AF$1,FALSE)</f>
        <v>0</v>
      </c>
      <c r="W22" s="123" t="str">
        <f>VLOOKUP(D22,Poeng!$B$10:$BJ$251,Poeng!BJ$1,FALSE)</f>
        <v>N/A</v>
      </c>
      <c r="X22" s="81"/>
      <c r="Y22" s="80"/>
      <c r="Z22" s="749"/>
      <c r="AC22" s="107">
        <f t="shared" si="0"/>
        <v>1</v>
      </c>
      <c r="AD22" s="3" t="e">
        <f>VLOOKUP(K22,'Assessment Details'!$O$45:$P$48,2,FALSE)</f>
        <v>#N/A</v>
      </c>
      <c r="AE22" s="3" t="e">
        <f>VLOOKUP(R22,'Assessment Details'!$O$45:$P$48,2,FALSE)</f>
        <v>#N/A</v>
      </c>
      <c r="AF22" s="3" t="e">
        <f>VLOOKUP(Y22,'Assessment Details'!$O$45:$P$48,2,FALSE)</f>
        <v>#N/A</v>
      </c>
    </row>
    <row r="23" spans="1:58" x14ac:dyDescent="0.25">
      <c r="A23" s="1091">
        <v>14</v>
      </c>
      <c r="B23" s="1090" t="s">
        <v>64</v>
      </c>
      <c r="C23" s="1097" t="s">
        <v>96</v>
      </c>
      <c r="D23" s="19" t="s">
        <v>724</v>
      </c>
      <c r="E23" s="875" t="str">
        <f>VLOOKUP(D23,Poeng!$B$10:$Q$251,Poeng!D$1,FALSE)</f>
        <v>Considerate contruction: clean and tidy building process and checklist A1</v>
      </c>
      <c r="F23" s="122">
        <f>VLOOKUP(D23,Poeng!$B$10:$AA$251,Poeng!AA$1,FALSE)</f>
        <v>1</v>
      </c>
      <c r="G23" s="43"/>
      <c r="H23" s="123">
        <f>VLOOKUP(D23,Poeng!$B$10:$AD$251,Poeng!AD$1,FALSE)</f>
        <v>0</v>
      </c>
      <c r="I23" s="124" t="str">
        <f>VLOOKUP(D23,Poeng!$B$10:$BD$251,Poeng!BD$1,FALSE)</f>
        <v>Unclassified</v>
      </c>
      <c r="J23" s="80"/>
      <c r="K23" s="281"/>
      <c r="L23" s="809"/>
      <c r="M23" s="1112"/>
      <c r="N23" s="83"/>
      <c r="O23" s="123">
        <f>VLOOKUP(D23,Poeng!$B$10:$BB$251,Poeng!AE$1,FALSE)</f>
        <v>0</v>
      </c>
      <c r="P23" s="123" t="str">
        <f>VLOOKUP(D23,Poeng!$B$10:$BG$251,Poeng!BG$1,FALSE)</f>
        <v>Unclassified</v>
      </c>
      <c r="Q23" s="755"/>
      <c r="R23" s="756"/>
      <c r="S23" s="749"/>
      <c r="T23" s="319"/>
      <c r="U23" s="83"/>
      <c r="V23" s="123">
        <f>VLOOKUP(D23,Poeng!$B$10:$BB$251,Poeng!AF$1,FALSE)</f>
        <v>0</v>
      </c>
      <c r="W23" s="123" t="str">
        <f>VLOOKUP(D23,Poeng!$B$10:$BJ$251,Poeng!BJ$1,FALSE)</f>
        <v>Unclassified</v>
      </c>
      <c r="X23" s="81"/>
      <c r="Y23" s="80"/>
      <c r="Z23" s="749"/>
      <c r="AC23" s="107">
        <f t="shared" si="0"/>
        <v>1</v>
      </c>
      <c r="AD23" s="3" t="e">
        <f>VLOOKUP(K23,'Assessment Details'!$O$45:$P$48,2,FALSE)</f>
        <v>#N/A</v>
      </c>
      <c r="AE23" s="3" t="e">
        <f>VLOOKUP(R23,'Assessment Details'!$O$45:$P$48,2,FALSE)</f>
        <v>#N/A</v>
      </c>
      <c r="AF23" s="3" t="e">
        <f>VLOOKUP(Y23,'Assessment Details'!$O$45:$P$48,2,FALSE)</f>
        <v>#N/A</v>
      </c>
    </row>
    <row r="24" spans="1:58" x14ac:dyDescent="0.25">
      <c r="A24" s="1091">
        <v>15</v>
      </c>
      <c r="B24" s="1090" t="s">
        <v>64</v>
      </c>
      <c r="C24" s="1097" t="s">
        <v>96</v>
      </c>
      <c r="D24" s="19" t="s">
        <v>725</v>
      </c>
      <c r="E24" s="875" t="str">
        <f>VLOOKUP(D24,Poeng!$B$10:$Q$251,Poeng!D$1,FALSE)</f>
        <v>Considerate contruction: INSTA 800 and checklist A1</v>
      </c>
      <c r="F24" s="122">
        <f>VLOOKUP(D24,Poeng!$B$10:$AA$251,Poeng!AA$1,FALSE)</f>
        <v>1</v>
      </c>
      <c r="G24" s="43"/>
      <c r="H24" s="123">
        <f>VLOOKUP(D24,Poeng!$B$10:$AD$251,Poeng!AD$1,FALSE)</f>
        <v>0</v>
      </c>
      <c r="I24" s="124" t="str">
        <f>VLOOKUP(D24,Poeng!$B$10:$BD$251,Poeng!BD$1,FALSE)</f>
        <v>Good</v>
      </c>
      <c r="J24" s="80"/>
      <c r="K24" s="281"/>
      <c r="L24" s="809"/>
      <c r="M24" s="1112"/>
      <c r="N24" s="83"/>
      <c r="O24" s="123">
        <f>VLOOKUP(D24,Poeng!$B$10:$BB$251,Poeng!AE$1,FALSE)</f>
        <v>0</v>
      </c>
      <c r="P24" s="123" t="str">
        <f>VLOOKUP(D24,Poeng!$B$10:$BG$251,Poeng!BG$1,FALSE)</f>
        <v>Good</v>
      </c>
      <c r="Q24" s="755"/>
      <c r="R24" s="756"/>
      <c r="S24" s="749"/>
      <c r="T24" s="319"/>
      <c r="U24" s="83"/>
      <c r="V24" s="123">
        <f>VLOOKUP(D24,Poeng!$B$10:$BB$251,Poeng!AF$1,FALSE)</f>
        <v>0</v>
      </c>
      <c r="W24" s="123" t="str">
        <f>VLOOKUP(D24,Poeng!$B$10:$BJ$251,Poeng!BJ$1,FALSE)</f>
        <v>Good</v>
      </c>
      <c r="X24" s="81"/>
      <c r="Y24" s="80"/>
      <c r="Z24" s="749"/>
      <c r="AC24" s="107">
        <f t="shared" si="0"/>
        <v>1</v>
      </c>
      <c r="AD24" s="3" t="e">
        <f>VLOOKUP(K24,'Assessment Details'!$O$45:$P$48,2,FALSE)</f>
        <v>#N/A</v>
      </c>
      <c r="AE24" s="3" t="e">
        <f>VLOOKUP(R24,'Assessment Details'!$O$45:$P$48,2,FALSE)</f>
        <v>#N/A</v>
      </c>
      <c r="AF24" s="3" t="e">
        <f>VLOOKUP(Y24,'Assessment Details'!$O$45:$P$48,2,FALSE)</f>
        <v>#N/A</v>
      </c>
    </row>
    <row r="25" spans="1:58" x14ac:dyDescent="0.25">
      <c r="A25" s="1091">
        <v>16</v>
      </c>
      <c r="B25" s="1090" t="s">
        <v>64</v>
      </c>
      <c r="C25" s="1097" t="s">
        <v>96</v>
      </c>
      <c r="D25" s="19" t="s">
        <v>914</v>
      </c>
      <c r="E25" s="875" t="str">
        <f>VLOOKUP(D25,Poeng!$B$10:$Q$251,Poeng!D$1,FALSE)</f>
        <v>Energy consumption from activities on the construction site (step 2-4)</v>
      </c>
      <c r="F25" s="122">
        <f>VLOOKUP(D25,Poeng!$B$10:$AA$251,Poeng!AA$1,FALSE)</f>
        <v>1</v>
      </c>
      <c r="G25" s="43"/>
      <c r="H25" s="123">
        <f>VLOOKUP(D25,Poeng!$B$10:$AD$251,Poeng!AD$1,FALSE)</f>
        <v>0</v>
      </c>
      <c r="I25" s="124" t="str">
        <f>VLOOKUP(D25,Poeng!$B$10:$BD$251,Poeng!BD$1,FALSE)</f>
        <v>Very Good</v>
      </c>
      <c r="J25" s="80"/>
      <c r="K25" s="281"/>
      <c r="L25" s="809"/>
      <c r="M25" s="1112"/>
      <c r="N25" s="83"/>
      <c r="O25" s="123">
        <f>VLOOKUP(D25,Poeng!$B$10:$BB$251,Poeng!AE$1,FALSE)</f>
        <v>0</v>
      </c>
      <c r="P25" s="123" t="str">
        <f>VLOOKUP(D25,Poeng!$B$10:$BG$251,Poeng!BG$1,FALSE)</f>
        <v>Very Good</v>
      </c>
      <c r="Q25" s="755"/>
      <c r="R25" s="756"/>
      <c r="S25" s="749"/>
      <c r="T25" s="319"/>
      <c r="U25" s="83"/>
      <c r="V25" s="123">
        <f>VLOOKUP(D25,Poeng!$B$10:$BB$251,Poeng!AF$1,FALSE)</f>
        <v>0</v>
      </c>
      <c r="W25" s="123" t="str">
        <f>VLOOKUP(D25,Poeng!$B$10:$BJ$251,Poeng!BJ$1,FALSE)</f>
        <v>Very Good</v>
      </c>
      <c r="X25" s="81"/>
      <c r="Y25" s="80"/>
      <c r="Z25" s="749"/>
      <c r="AC25" s="107">
        <f t="shared" si="0"/>
        <v>1</v>
      </c>
      <c r="AD25" s="3" t="e">
        <f>VLOOKUP(K25,'Assessment Details'!$O$45:$P$48,2,FALSE)</f>
        <v>#N/A</v>
      </c>
      <c r="AE25" s="3" t="e">
        <f>VLOOKUP(R25,'Assessment Details'!$O$45:$P$48,2,FALSE)</f>
        <v>#N/A</v>
      </c>
      <c r="AF25" s="3" t="e">
        <f>VLOOKUP(Y25,'Assessment Details'!$O$45:$P$48,2,FALSE)</f>
        <v>#N/A</v>
      </c>
    </row>
    <row r="26" spans="1:58" x14ac:dyDescent="0.25">
      <c r="A26" s="1091">
        <v>17</v>
      </c>
      <c r="B26" s="1090" t="s">
        <v>64</v>
      </c>
      <c r="C26" s="1097" t="s">
        <v>96</v>
      </c>
      <c r="D26" s="19" t="s">
        <v>915</v>
      </c>
      <c r="E26" s="875" t="str">
        <f>VLOOKUP(D26,Poeng!$B$10:$Q$251,Poeng!D$1,FALSE)</f>
        <v>Energy consumption from transport of masses and waste (step 2-4)</v>
      </c>
      <c r="F26" s="122">
        <f>VLOOKUP(D26,Poeng!$B$10:$AA$251,Poeng!AA$1,FALSE)</f>
        <v>2</v>
      </c>
      <c r="G26" s="43"/>
      <c r="H26" s="123">
        <f>VLOOKUP(D26,Poeng!$B$10:$AD$251,Poeng!AD$1,FALSE)</f>
        <v>0</v>
      </c>
      <c r="I26" s="124" t="str">
        <f>VLOOKUP(D26,Poeng!$B$10:$BD$251,Poeng!BD$1,FALSE)</f>
        <v>Very Good</v>
      </c>
      <c r="J26" s="80"/>
      <c r="K26" s="281"/>
      <c r="L26" s="809"/>
      <c r="M26" s="1112"/>
      <c r="N26" s="83"/>
      <c r="O26" s="123">
        <f>VLOOKUP(D26,Poeng!$B$10:$BB$251,Poeng!AE$1,FALSE)</f>
        <v>0</v>
      </c>
      <c r="P26" s="123" t="str">
        <f>VLOOKUP(D26,Poeng!$B$10:$BG$251,Poeng!BG$1,FALSE)</f>
        <v>Very Good</v>
      </c>
      <c r="Q26" s="755"/>
      <c r="R26" s="756"/>
      <c r="S26" s="749"/>
      <c r="T26" s="319"/>
      <c r="U26" s="83"/>
      <c r="V26" s="123">
        <f>VLOOKUP(D26,Poeng!$B$10:$BB$251,Poeng!AF$1,FALSE)</f>
        <v>0</v>
      </c>
      <c r="W26" s="123" t="str">
        <f>VLOOKUP(D26,Poeng!$B$10:$BJ$251,Poeng!BJ$1,FALSE)</f>
        <v>Very Good</v>
      </c>
      <c r="X26" s="81"/>
      <c r="Y26" s="80"/>
      <c r="Z26" s="749"/>
      <c r="AC26" s="107">
        <f t="shared" si="0"/>
        <v>1</v>
      </c>
      <c r="AD26" s="3" t="e">
        <f>VLOOKUP(K26,'Assessment Details'!$O$45:$P$48,2,FALSE)</f>
        <v>#N/A</v>
      </c>
      <c r="AE26" s="3" t="e">
        <f>VLOOKUP(R26,'Assessment Details'!$O$45:$P$48,2,FALSE)</f>
        <v>#N/A</v>
      </c>
      <c r="AF26" s="3" t="e">
        <f>VLOOKUP(Y26,'Assessment Details'!$O$45:$P$48,2,FALSE)</f>
        <v>#N/A</v>
      </c>
    </row>
    <row r="27" spans="1:58" x14ac:dyDescent="0.25">
      <c r="A27" s="1091">
        <v>18</v>
      </c>
      <c r="B27" s="1090" t="s">
        <v>64</v>
      </c>
      <c r="C27" s="938" t="s">
        <v>97</v>
      </c>
      <c r="D27" s="837" t="s">
        <v>97</v>
      </c>
      <c r="E27" s="874" t="str">
        <f>VLOOKUP(D27,Poeng!$B$10:$Q$251,Poeng!D$1,FALSE)</f>
        <v>Man 04 Commissioning and handover</v>
      </c>
      <c r="F27" s="879">
        <f>VLOOKUP(D27,Poeng!$B$10:$AA$251,Poeng!AA$1,FALSE)</f>
        <v>3</v>
      </c>
      <c r="G27" s="1015"/>
      <c r="H27" s="880" t="str">
        <f>VLOOKUP(D27,Poeng!$B$10:$AH$251,Poeng!AH$1,FALSE)&amp;" c. "&amp;ROUND(VLOOKUP(D27,Poeng!$B$10:$AD$251,Poeng!AD$1,FALSE)*100,1)&amp;" %"</f>
        <v>0 c. 0 %</v>
      </c>
      <c r="I27" s="938" t="str">
        <f>VLOOKUP(D27,Poeng!$B$10:$BD$251,Poeng!BD$1,FALSE)</f>
        <v>N/A</v>
      </c>
      <c r="J27" s="80"/>
      <c r="K27" s="281"/>
      <c r="L27" s="809"/>
      <c r="M27" s="829"/>
      <c r="N27" s="1015"/>
      <c r="O27" s="891" t="str">
        <f>VLOOKUP(D27,Poeng!$B$10:$BB$251,Poeng!AI$1,FALSE)&amp;" c. "&amp;ROUND(VLOOKUP(D27,Poeng!$B$10:$BB$251,Poeng!AE$1,FALSE)*100,1)&amp;" %"</f>
        <v>0 c. 0 %</v>
      </c>
      <c r="P27" s="123" t="str">
        <f>VLOOKUP(D27,Poeng!$B$10:$BG$251,Poeng!BG$1,FALSE)</f>
        <v>N/A</v>
      </c>
      <c r="Q27" s="755"/>
      <c r="R27" s="756"/>
      <c r="S27" s="749"/>
      <c r="T27" s="319"/>
      <c r="U27" s="1015"/>
      <c r="V27" s="891" t="str">
        <f>VLOOKUP(D27,Poeng!$B$10:$BB$251,Poeng!AJ$1,FALSE)&amp;" c. "&amp;ROUND(VLOOKUP(D27,Poeng!$B$10:$BB$251,Poeng!AF$1,FALSE)*100,1)&amp;" %"</f>
        <v>0 c. 0 %</v>
      </c>
      <c r="W27" s="123" t="str">
        <f>VLOOKUP(D27,Poeng!$B$10:$BJ$251,Poeng!BJ$1,FALSE)</f>
        <v>N/A</v>
      </c>
      <c r="X27" s="81"/>
      <c r="Y27" s="80"/>
      <c r="Z27" s="749"/>
      <c r="AA27" s="133"/>
      <c r="AB27" s="648" t="s">
        <v>14</v>
      </c>
      <c r="AC27" s="107">
        <f t="shared" si="0"/>
        <v>1</v>
      </c>
      <c r="AD27" s="3" t="e">
        <f>VLOOKUP(K27,'Assessment Details'!$O$45:$P$48,2,FALSE)</f>
        <v>#N/A</v>
      </c>
      <c r="AE27" s="3" t="e">
        <f>VLOOKUP(R27,'Assessment Details'!$O$45:$P$48,2,FALSE)</f>
        <v>#N/A</v>
      </c>
      <c r="AF27" s="3" t="e">
        <f>VLOOKUP(Y27,'Assessment Details'!$O$45:$P$48,2,FALSE)</f>
        <v>#N/A</v>
      </c>
      <c r="AI27" s="70"/>
      <c r="AJ27" s="678" t="s">
        <v>398</v>
      </c>
      <c r="AK27" s="656" t="s">
        <v>408</v>
      </c>
      <c r="AL27" s="656" t="s">
        <v>409</v>
      </c>
      <c r="AM27" s="656" t="s">
        <v>410</v>
      </c>
      <c r="AN27" s="70"/>
      <c r="AO27" s="70"/>
      <c r="AP27" s="70"/>
      <c r="AR27" s="1" t="s">
        <v>14</v>
      </c>
      <c r="AS27" s="23" t="str">
        <f t="shared" si="3"/>
        <v>N/A</v>
      </c>
      <c r="AT27" s="23" t="str">
        <f t="shared" si="1"/>
        <v>N/A</v>
      </c>
      <c r="AU27" s="23" t="str">
        <f t="shared" si="2"/>
        <v>N/A</v>
      </c>
      <c r="AV27" s="23"/>
      <c r="AW27" s="23"/>
      <c r="AX27" s="23"/>
      <c r="AY27" s="18"/>
      <c r="AZ27" s="648"/>
      <c r="BA27" s="18"/>
      <c r="BB27" s="18"/>
      <c r="BC27" s="18"/>
      <c r="BD27" s="18"/>
      <c r="BE27" s="18"/>
      <c r="BF27" s="18"/>
    </row>
    <row r="28" spans="1:58" x14ac:dyDescent="0.25">
      <c r="A28" s="1091">
        <v>19</v>
      </c>
      <c r="B28" s="1090" t="s">
        <v>64</v>
      </c>
      <c r="C28" s="1097" t="s">
        <v>97</v>
      </c>
      <c r="D28" s="19" t="s">
        <v>726</v>
      </c>
      <c r="E28" s="875" t="str">
        <f>VLOOKUP(D28,Poeng!$B$10:$Q$251,Poeng!D$1,FALSE)</f>
        <v xml:space="preserve">Commissioning - testing schedule and responsibilities </v>
      </c>
      <c r="F28" s="122">
        <f>VLOOKUP(D28,Poeng!$B$10:$AA$251,Poeng!AA$1,FALSE)</f>
        <v>1</v>
      </c>
      <c r="G28" s="43"/>
      <c r="H28" s="123">
        <f>VLOOKUP(D28,Poeng!$B$10:$AD$251,Poeng!AD$1,FALSE)</f>
        <v>0</v>
      </c>
      <c r="I28" s="124" t="str">
        <f>VLOOKUP(D28,Poeng!$B$10:$BD$251,Poeng!BD$1,FALSE)</f>
        <v>Unclassified</v>
      </c>
      <c r="J28" s="80"/>
      <c r="K28" s="281"/>
      <c r="L28" s="809"/>
      <c r="M28" s="1112"/>
      <c r="N28" s="83"/>
      <c r="O28" s="123">
        <f>VLOOKUP(D28,Poeng!$B$10:$BB$251,Poeng!AE$1,FALSE)</f>
        <v>0</v>
      </c>
      <c r="P28" s="123" t="str">
        <f>VLOOKUP(D28,Poeng!$B$10:$BG$251,Poeng!BG$1,FALSE)</f>
        <v>Unclassified</v>
      </c>
      <c r="Q28" s="755"/>
      <c r="R28" s="756"/>
      <c r="S28" s="749"/>
      <c r="T28" s="319"/>
      <c r="U28" s="83"/>
      <c r="V28" s="123">
        <f>VLOOKUP(D28,Poeng!$B$10:$BB$251,Poeng!AF$1,FALSE)</f>
        <v>0</v>
      </c>
      <c r="W28" s="123" t="str">
        <f>VLOOKUP(D28,Poeng!$B$10:$BJ$251,Poeng!BJ$1,FALSE)</f>
        <v>Unclassified</v>
      </c>
      <c r="X28" s="81"/>
      <c r="Y28" s="80"/>
      <c r="Z28" s="749"/>
      <c r="AC28" s="107">
        <f t="shared" si="0"/>
        <v>1</v>
      </c>
      <c r="AD28" s="3" t="e">
        <f>VLOOKUP(K28,'Assessment Details'!$O$45:$P$48,2,FALSE)</f>
        <v>#N/A</v>
      </c>
      <c r="AE28" s="3" t="e">
        <f>VLOOKUP(R28,'Assessment Details'!$O$45:$P$48,2,FALSE)</f>
        <v>#N/A</v>
      </c>
      <c r="AF28" s="3" t="e">
        <f>VLOOKUP(Y28,'Assessment Details'!$O$45:$P$48,2,FALSE)</f>
        <v>#N/A</v>
      </c>
    </row>
    <row r="29" spans="1:58" x14ac:dyDescent="0.25">
      <c r="A29" s="1091">
        <v>20</v>
      </c>
      <c r="B29" s="1090" t="s">
        <v>64</v>
      </c>
      <c r="C29" s="1097" t="s">
        <v>97</v>
      </c>
      <c r="D29" s="19" t="s">
        <v>727</v>
      </c>
      <c r="E29" s="875" t="str">
        <f>VLOOKUP(D29,Poeng!$B$10:$Q$251,Poeng!D$1,FALSE)</f>
        <v>Commissioning - design, preperation and implementation</v>
      </c>
      <c r="F29" s="122">
        <f>VLOOKUP(D29,Poeng!$B$10:$AA$251,Poeng!AA$1,FALSE)</f>
        <v>1</v>
      </c>
      <c r="G29" s="43"/>
      <c r="H29" s="123">
        <f>VLOOKUP(D29,Poeng!$B$10:$AD$251,Poeng!AD$1,FALSE)</f>
        <v>0</v>
      </c>
      <c r="I29" s="124" t="str">
        <f>VLOOKUP(D29,Poeng!$B$10:$BD$251,Poeng!BD$1,FALSE)</f>
        <v>N/A</v>
      </c>
      <c r="J29" s="80"/>
      <c r="K29" s="281"/>
      <c r="L29" s="809"/>
      <c r="M29" s="1112"/>
      <c r="N29" s="83"/>
      <c r="O29" s="123">
        <f>VLOOKUP(D29,Poeng!$B$10:$BB$251,Poeng!AE$1,FALSE)</f>
        <v>0</v>
      </c>
      <c r="P29" s="123" t="str">
        <f>VLOOKUP(D29,Poeng!$B$10:$BG$251,Poeng!BG$1,FALSE)</f>
        <v>N/A</v>
      </c>
      <c r="Q29" s="755"/>
      <c r="R29" s="756"/>
      <c r="S29" s="749"/>
      <c r="T29" s="319"/>
      <c r="U29" s="83"/>
      <c r="V29" s="123">
        <f>VLOOKUP(D29,Poeng!$B$10:$BB$251,Poeng!AF$1,FALSE)</f>
        <v>0</v>
      </c>
      <c r="W29" s="123" t="str">
        <f>VLOOKUP(D29,Poeng!$B$10:$BJ$251,Poeng!BJ$1,FALSE)</f>
        <v>N/A</v>
      </c>
      <c r="X29" s="81"/>
      <c r="Y29" s="80"/>
      <c r="Z29" s="749"/>
      <c r="AC29" s="107">
        <f t="shared" si="0"/>
        <v>1</v>
      </c>
      <c r="AD29" s="3" t="e">
        <f>VLOOKUP(K29,'Assessment Details'!$O$45:$P$48,2,FALSE)</f>
        <v>#N/A</v>
      </c>
      <c r="AE29" s="3" t="e">
        <f>VLOOKUP(R29,'Assessment Details'!$O$45:$P$48,2,FALSE)</f>
        <v>#N/A</v>
      </c>
      <c r="AF29" s="3" t="e">
        <f>VLOOKUP(Y29,'Assessment Details'!$O$45:$P$48,2,FALSE)</f>
        <v>#N/A</v>
      </c>
    </row>
    <row r="30" spans="1:58" x14ac:dyDescent="0.25">
      <c r="A30" s="1091">
        <v>21</v>
      </c>
      <c r="B30" s="1090" t="s">
        <v>64</v>
      </c>
      <c r="C30" s="1097" t="s">
        <v>97</v>
      </c>
      <c r="D30" s="19" t="s">
        <v>728</v>
      </c>
      <c r="E30" s="875" t="str">
        <f>VLOOKUP(D30,Poeng!$B$10:$Q$251,Poeng!D$1,FALSE)</f>
        <v>Prepare for good handover</v>
      </c>
      <c r="F30" s="122">
        <f>VLOOKUP(D30,Poeng!$B$10:$AA$251,Poeng!AA$1,FALSE)</f>
        <v>1</v>
      </c>
      <c r="G30" s="43"/>
      <c r="H30" s="123">
        <f>VLOOKUP(D30,Poeng!$B$10:$AD$251,Poeng!AD$1,FALSE)</f>
        <v>0</v>
      </c>
      <c r="I30" s="124" t="str">
        <f>VLOOKUP(D30,Poeng!$B$10:$BD$251,Poeng!BD$1,FALSE)</f>
        <v>Good</v>
      </c>
      <c r="J30" s="80"/>
      <c r="K30" s="281"/>
      <c r="L30" s="809"/>
      <c r="M30" s="1112"/>
      <c r="N30" s="83"/>
      <c r="O30" s="123">
        <f>VLOOKUP(D30,Poeng!$B$10:$BB$251,Poeng!AE$1,FALSE)</f>
        <v>0</v>
      </c>
      <c r="P30" s="123" t="str">
        <f>VLOOKUP(D30,Poeng!$B$10:$BG$251,Poeng!BG$1,FALSE)</f>
        <v>Good</v>
      </c>
      <c r="Q30" s="755"/>
      <c r="R30" s="756"/>
      <c r="S30" s="749"/>
      <c r="T30" s="319"/>
      <c r="U30" s="83"/>
      <c r="V30" s="123">
        <f>VLOOKUP(D30,Poeng!$B$10:$BB$251,Poeng!AF$1,FALSE)</f>
        <v>0</v>
      </c>
      <c r="W30" s="123" t="str">
        <f>VLOOKUP(D30,Poeng!$B$10:$BJ$251,Poeng!BJ$1,FALSE)</f>
        <v>Good</v>
      </c>
      <c r="X30" s="81"/>
      <c r="Y30" s="80"/>
      <c r="Z30" s="749"/>
      <c r="AC30" s="107">
        <f t="shared" si="0"/>
        <v>1</v>
      </c>
      <c r="AD30" s="3" t="e">
        <f>VLOOKUP(K30,'Assessment Details'!$O$45:$P$48,2,FALSE)</f>
        <v>#N/A</v>
      </c>
      <c r="AE30" s="3" t="e">
        <f>VLOOKUP(R30,'Assessment Details'!$O$45:$P$48,2,FALSE)</f>
        <v>#N/A</v>
      </c>
      <c r="AF30" s="3" t="e">
        <f>VLOOKUP(Y30,'Assessment Details'!$O$45:$P$48,2,FALSE)</f>
        <v>#N/A</v>
      </c>
    </row>
    <row r="31" spans="1:58" x14ac:dyDescent="0.25">
      <c r="A31" s="1091">
        <v>22</v>
      </c>
      <c r="B31" s="1090" t="s">
        <v>64</v>
      </c>
      <c r="C31" s="938" t="s">
        <v>98</v>
      </c>
      <c r="D31" s="837" t="s">
        <v>98</v>
      </c>
      <c r="E31" s="874" t="str">
        <f>VLOOKUP(D31,Poeng!$B$10:$Q$251,Poeng!D$1,FALSE)</f>
        <v>Man 05 Aftercare</v>
      </c>
      <c r="F31" s="879">
        <f>VLOOKUP(D31,Poeng!$B$10:$AA$251,Poeng!AA$1,FALSE)</f>
        <v>3</v>
      </c>
      <c r="G31" s="1015"/>
      <c r="H31" s="880" t="str">
        <f>VLOOKUP(D31,Poeng!$B$10:$AH$251,Poeng!AH$1,FALSE)&amp;" c. "&amp;ROUND(VLOOKUP(D31,Poeng!$B$10:$AD$251,Poeng!AD$1,FALSE)*100,1)&amp;" %"</f>
        <v>0 c. 0 %</v>
      </c>
      <c r="I31" s="938" t="str">
        <f>VLOOKUP(D31,Poeng!$B$10:$BD$251,Poeng!BD$1,FALSE)</f>
        <v>N/A</v>
      </c>
      <c r="J31" s="80"/>
      <c r="K31" s="281"/>
      <c r="L31" s="809"/>
      <c r="M31" s="829"/>
      <c r="N31" s="1015"/>
      <c r="O31" s="891" t="str">
        <f>VLOOKUP(D31,Poeng!$B$10:$BB$251,Poeng!AI$1,FALSE)&amp;" c. "&amp;ROUND(VLOOKUP(D31,Poeng!$B$10:$BB$251,Poeng!AE$1,FALSE)*100,1)&amp;" %"</f>
        <v>0 c. 0 %</v>
      </c>
      <c r="P31" s="123" t="str">
        <f>VLOOKUP(D31,Poeng!$B$10:$BG$251,Poeng!BG$1,FALSE)</f>
        <v>N/A</v>
      </c>
      <c r="Q31" s="755"/>
      <c r="R31" s="756"/>
      <c r="S31" s="749"/>
      <c r="T31" s="319"/>
      <c r="U31" s="1015"/>
      <c r="V31" s="891" t="str">
        <f>VLOOKUP(D31,Poeng!$B$10:$BB$251,Poeng!AJ$1,FALSE)&amp;" c. "&amp;ROUND(VLOOKUP(D31,Poeng!$B$10:$BB$251,Poeng!AF$1,FALSE)*100,1)&amp;" %"</f>
        <v>0 c. 0 %</v>
      </c>
      <c r="W31" s="123" t="str">
        <f>VLOOKUP(D31,Poeng!$B$10:$BJ$251,Poeng!BJ$1,FALSE)</f>
        <v>N/A</v>
      </c>
      <c r="X31" s="81"/>
      <c r="Y31" s="80"/>
      <c r="Z31" s="749"/>
      <c r="AA31" s="133"/>
      <c r="AB31" s="648" t="s">
        <v>14</v>
      </c>
      <c r="AC31" s="107">
        <f t="shared" si="0"/>
        <v>1</v>
      </c>
      <c r="AD31" s="3" t="e">
        <f>VLOOKUP(K31,'Assessment Details'!$O$45:$P$48,2,FALSE)</f>
        <v>#N/A</v>
      </c>
      <c r="AE31" s="3" t="e">
        <f>VLOOKUP(R31,'Assessment Details'!$O$45:$P$48,2,FALSE)</f>
        <v>#N/A</v>
      </c>
      <c r="AF31" s="3" t="e">
        <f>VLOOKUP(Y31,'Assessment Details'!$O$45:$P$48,2,FALSE)</f>
        <v>#N/A</v>
      </c>
      <c r="AG31" s="27"/>
      <c r="AI31" s="70"/>
      <c r="AJ31" s="678" t="s">
        <v>311</v>
      </c>
      <c r="AK31" s="656" t="s">
        <v>408</v>
      </c>
      <c r="AL31" s="656" t="s">
        <v>410</v>
      </c>
      <c r="AM31" s="70"/>
      <c r="AN31" s="70"/>
      <c r="AO31" s="70"/>
      <c r="AP31" s="70"/>
      <c r="AR31" s="1" t="s">
        <v>14</v>
      </c>
      <c r="AS31" s="23" t="str">
        <f t="shared" si="3"/>
        <v>N/A</v>
      </c>
      <c r="AT31" s="23" t="str">
        <f t="shared" si="1"/>
        <v>N/A</v>
      </c>
      <c r="AU31" s="23" t="str">
        <f t="shared" si="2"/>
        <v>N/A</v>
      </c>
      <c r="AV31" s="23"/>
      <c r="AW31" s="23"/>
      <c r="AX31" s="23"/>
      <c r="AY31" s="18"/>
      <c r="AZ31" s="648"/>
      <c r="BA31" s="18"/>
      <c r="BB31" s="18"/>
      <c r="BC31" s="18"/>
      <c r="BD31" s="18"/>
      <c r="BE31" s="18"/>
      <c r="BF31" s="18"/>
    </row>
    <row r="32" spans="1:58" x14ac:dyDescent="0.25">
      <c r="A32" s="1091">
        <v>23</v>
      </c>
      <c r="B32" s="1090" t="s">
        <v>64</v>
      </c>
      <c r="C32" s="1097" t="s">
        <v>98</v>
      </c>
      <c r="D32" s="19" t="s">
        <v>729</v>
      </c>
      <c r="E32" s="875" t="str">
        <f>VLOOKUP(D32,Poeng!$B$10:$Q$251,Poeng!D$1,FALSE)</f>
        <v>Aftercare support</v>
      </c>
      <c r="F32" s="122">
        <f>VLOOKUP(D32,Poeng!$B$10:$AA$251,Poeng!AA$1,FALSE)</f>
        <v>1</v>
      </c>
      <c r="G32" s="43"/>
      <c r="H32" s="123">
        <f>VLOOKUP(D32,Poeng!$B$10:$AD$251,Poeng!AD$1,FALSE)</f>
        <v>0</v>
      </c>
      <c r="I32" s="124" t="str">
        <f>VLOOKUP(D32,Poeng!$B$10:$BD$251,Poeng!BD$1,FALSE)</f>
        <v>N/A</v>
      </c>
      <c r="J32" s="80"/>
      <c r="K32" s="281"/>
      <c r="L32" s="809"/>
      <c r="M32" s="1112"/>
      <c r="N32" s="83"/>
      <c r="O32" s="123">
        <f>VLOOKUP(D32,Poeng!$B$10:$BB$251,Poeng!AE$1,FALSE)</f>
        <v>0</v>
      </c>
      <c r="P32" s="123" t="str">
        <f>VLOOKUP(D32,Poeng!$B$10:$BG$251,Poeng!BG$1,FALSE)</f>
        <v>N/A</v>
      </c>
      <c r="Q32" s="755"/>
      <c r="R32" s="756"/>
      <c r="S32" s="749"/>
      <c r="T32" s="319"/>
      <c r="U32" s="83"/>
      <c r="V32" s="123">
        <f>VLOOKUP(D32,Poeng!$B$10:$BB$251,Poeng!AF$1,FALSE)</f>
        <v>0</v>
      </c>
      <c r="W32" s="123" t="str">
        <f>VLOOKUP(D32,Poeng!$B$10:$BJ$251,Poeng!BJ$1,FALSE)</f>
        <v>N/A</v>
      </c>
      <c r="X32" s="81"/>
      <c r="Y32" s="80"/>
      <c r="Z32" s="749"/>
      <c r="AC32" s="107">
        <f t="shared" si="0"/>
        <v>1</v>
      </c>
      <c r="AD32" s="3" t="e">
        <f>VLOOKUP(K32,'Assessment Details'!$O$45:$P$48,2,FALSE)</f>
        <v>#N/A</v>
      </c>
      <c r="AE32" s="3" t="e">
        <f>VLOOKUP(R32,'Assessment Details'!$O$45:$P$48,2,FALSE)</f>
        <v>#N/A</v>
      </c>
      <c r="AF32" s="3" t="e">
        <f>VLOOKUP(Y32,'Assessment Details'!$O$45:$P$48,2,FALSE)</f>
        <v>#N/A</v>
      </c>
    </row>
    <row r="33" spans="1:58" x14ac:dyDescent="0.25">
      <c r="A33" s="1091">
        <v>24</v>
      </c>
      <c r="B33" s="1090" t="s">
        <v>64</v>
      </c>
      <c r="C33" s="1097" t="s">
        <v>98</v>
      </c>
      <c r="D33" s="19" t="s">
        <v>730</v>
      </c>
      <c r="E33" s="875" t="str">
        <f>VLOOKUP(D33,Poeng!$B$10:$Q$251,Poeng!D$1,FALSE)</f>
        <v>Sesonal commisioning</v>
      </c>
      <c r="F33" s="122">
        <f>VLOOKUP(D33,Poeng!$B$10:$AA$251,Poeng!AA$1,FALSE)</f>
        <v>1</v>
      </c>
      <c r="G33" s="43"/>
      <c r="H33" s="123">
        <f>VLOOKUP(D33,Poeng!$B$10:$AD$251,Poeng!AD$1,FALSE)</f>
        <v>0</v>
      </c>
      <c r="I33" s="124" t="str">
        <f>VLOOKUP(D33,Poeng!$B$10:$BD$251,Poeng!BD$1,FALSE)</f>
        <v>Very Good</v>
      </c>
      <c r="J33" s="80"/>
      <c r="K33" s="281"/>
      <c r="L33" s="809"/>
      <c r="M33" s="1112"/>
      <c r="N33" s="83"/>
      <c r="O33" s="123">
        <f>VLOOKUP(D33,Poeng!$B$10:$BB$251,Poeng!AE$1,FALSE)</f>
        <v>0</v>
      </c>
      <c r="P33" s="123" t="str">
        <f>VLOOKUP(D33,Poeng!$B$10:$BG$251,Poeng!BG$1,FALSE)</f>
        <v>Very Good</v>
      </c>
      <c r="Q33" s="755"/>
      <c r="R33" s="756"/>
      <c r="S33" s="749"/>
      <c r="T33" s="319"/>
      <c r="U33" s="83"/>
      <c r="V33" s="123">
        <f>VLOOKUP(D33,Poeng!$B$10:$BB$251,Poeng!AF$1,FALSE)</f>
        <v>0</v>
      </c>
      <c r="W33" s="123" t="str">
        <f>VLOOKUP(D33,Poeng!$B$10:$BJ$251,Poeng!BJ$1,FALSE)</f>
        <v>Very Good</v>
      </c>
      <c r="X33" s="81"/>
      <c r="Y33" s="80"/>
      <c r="Z33" s="749"/>
      <c r="AC33" s="107">
        <f t="shared" si="0"/>
        <v>1</v>
      </c>
      <c r="AD33" s="3" t="e">
        <f>VLOOKUP(K33,'Assessment Details'!$O$45:$P$48,2,FALSE)</f>
        <v>#N/A</v>
      </c>
      <c r="AE33" s="3" t="e">
        <f>VLOOKUP(R33,'Assessment Details'!$O$45:$P$48,2,FALSE)</f>
        <v>#N/A</v>
      </c>
      <c r="AF33" s="3" t="e">
        <f>VLOOKUP(Y33,'Assessment Details'!$O$45:$P$48,2,FALSE)</f>
        <v>#N/A</v>
      </c>
    </row>
    <row r="34" spans="1:58" x14ac:dyDescent="0.25">
      <c r="A34" s="1091">
        <v>25</v>
      </c>
      <c r="B34" s="1090" t="s">
        <v>64</v>
      </c>
      <c r="C34" s="1097" t="s">
        <v>98</v>
      </c>
      <c r="D34" s="19" t="s">
        <v>731</v>
      </c>
      <c r="E34" s="875" t="str">
        <f>VLOOKUP(D34,Poeng!$B$10:$Q$251,Poeng!D$1,FALSE)</f>
        <v>Post-occypancy evaluation</v>
      </c>
      <c r="F34" s="122">
        <f>VLOOKUP(D34,Poeng!$B$10:$AA$251,Poeng!AA$1,FALSE)</f>
        <v>1</v>
      </c>
      <c r="G34" s="43"/>
      <c r="H34" s="123">
        <f>VLOOKUP(D34,Poeng!$B$10:$AD$251,Poeng!AD$1,FALSE)</f>
        <v>0</v>
      </c>
      <c r="I34" s="124" t="str">
        <f>VLOOKUP(D34,Poeng!$B$10:$BD$251,Poeng!BD$1,FALSE)</f>
        <v>N/A</v>
      </c>
      <c r="J34" s="80"/>
      <c r="K34" s="281"/>
      <c r="L34" s="809"/>
      <c r="M34" s="1112"/>
      <c r="N34" s="83"/>
      <c r="O34" s="123">
        <f>VLOOKUP(D34,Poeng!$B$10:$BB$251,Poeng!AE$1,FALSE)</f>
        <v>0</v>
      </c>
      <c r="P34" s="123" t="str">
        <f>VLOOKUP(D34,Poeng!$B$10:$BG$251,Poeng!BG$1,FALSE)</f>
        <v>N/A</v>
      </c>
      <c r="Q34" s="755"/>
      <c r="R34" s="756"/>
      <c r="S34" s="749"/>
      <c r="T34" s="319"/>
      <c r="U34" s="83"/>
      <c r="V34" s="123">
        <f>VLOOKUP(D34,Poeng!$B$10:$BB$251,Poeng!AF$1,FALSE)</f>
        <v>0</v>
      </c>
      <c r="W34" s="123" t="str">
        <f>VLOOKUP(D34,Poeng!$B$10:$BJ$251,Poeng!BJ$1,FALSE)</f>
        <v>N/A</v>
      </c>
      <c r="X34" s="81"/>
      <c r="Y34" s="80"/>
      <c r="Z34" s="749"/>
      <c r="AC34" s="107">
        <f t="shared" si="0"/>
        <v>1</v>
      </c>
      <c r="AD34" s="3" t="e">
        <f>VLOOKUP(K34,'Assessment Details'!$O$45:$P$48,2,FALSE)</f>
        <v>#N/A</v>
      </c>
      <c r="AE34" s="3" t="e">
        <f>VLOOKUP(R34,'Assessment Details'!$O$45:$P$48,2,FALSE)</f>
        <v>#N/A</v>
      </c>
      <c r="AF34" s="3" t="e">
        <f>VLOOKUP(Y34,'Assessment Details'!$O$45:$P$48,2,FALSE)</f>
        <v>#N/A</v>
      </c>
    </row>
    <row r="35" spans="1:58" ht="15.75" thickBot="1" x14ac:dyDescent="0.3">
      <c r="A35" s="1091">
        <v>26</v>
      </c>
      <c r="B35" s="1090" t="s">
        <v>64</v>
      </c>
      <c r="C35" s="1098"/>
      <c r="D35" s="837" t="s">
        <v>886</v>
      </c>
      <c r="E35" s="320" t="s">
        <v>105</v>
      </c>
      <c r="F35" s="125">
        <f>Man_Credits</f>
        <v>21</v>
      </c>
      <c r="G35" s="939"/>
      <c r="H35" s="126">
        <f>Man_cont_tot</f>
        <v>0</v>
      </c>
      <c r="I35" s="881" t="str">
        <f>"Credits achieved: "&amp;Man_tot_user</f>
        <v>Credits achieved: 0</v>
      </c>
      <c r="J35" s="134"/>
      <c r="K35" s="282"/>
      <c r="L35" s="757"/>
      <c r="M35" s="828"/>
      <c r="N35" s="383"/>
      <c r="O35" s="126">
        <f>VLOOKUP(D35,Poeng!$B$10:$BB$251,Poeng!AE$1,FALSE)</f>
        <v>0</v>
      </c>
      <c r="P35" s="881" t="str">
        <f>"Credits achieved: "&amp;Man_d_user</f>
        <v>Credits achieved: 0</v>
      </c>
      <c r="Q35" s="758"/>
      <c r="R35" s="759"/>
      <c r="S35" s="757"/>
      <c r="T35" s="319"/>
      <c r="U35" s="383"/>
      <c r="V35" s="126">
        <f>VLOOKUP(D35,Poeng!$B$10:$BB$251,Poeng!AF$1,FALSE)</f>
        <v>0</v>
      </c>
      <c r="W35" s="881" t="str">
        <f>"Credits achieved: "&amp;Man_c_user</f>
        <v>Credits achieved: 0</v>
      </c>
      <c r="X35" s="382"/>
      <c r="Y35" s="135"/>
      <c r="Z35" s="757"/>
      <c r="AA35" s="133"/>
      <c r="AB35" s="649"/>
      <c r="AC35" s="107">
        <f t="shared" si="0"/>
        <v>1</v>
      </c>
      <c r="AD35" s="276">
        <v>0</v>
      </c>
      <c r="AE35" s="276">
        <v>0</v>
      </c>
      <c r="AF35" s="276">
        <v>0</v>
      </c>
      <c r="AG35" s="27"/>
      <c r="AI35" s="70"/>
      <c r="AJ35" s="678" t="s">
        <v>105</v>
      </c>
      <c r="AK35" s="70"/>
      <c r="AL35" s="70"/>
      <c r="AM35" s="70"/>
      <c r="AN35" s="70"/>
      <c r="AO35" s="70"/>
      <c r="AP35" s="70"/>
      <c r="AS35" s="23" t="str">
        <f t="shared" si="3"/>
        <v>N/A</v>
      </c>
      <c r="AT35" s="23" t="str">
        <f t="shared" si="1"/>
        <v>N/A</v>
      </c>
      <c r="AU35" s="23" t="str">
        <f t="shared" si="2"/>
        <v>N/A</v>
      </c>
      <c r="AV35" s="23"/>
      <c r="AW35" s="23"/>
      <c r="AX35" s="23"/>
      <c r="AY35" s="18"/>
      <c r="AZ35" s="649"/>
      <c r="BA35" s="18"/>
      <c r="BB35" s="18"/>
      <c r="BC35" s="18"/>
      <c r="BD35" s="18"/>
      <c r="BE35" s="18"/>
      <c r="BF35" s="18"/>
    </row>
    <row r="36" spans="1:58" x14ac:dyDescent="0.25">
      <c r="A36" s="1091">
        <v>27</v>
      </c>
      <c r="B36" s="1090" t="s">
        <v>64</v>
      </c>
      <c r="C36" s="322"/>
      <c r="D36" s="837"/>
      <c r="E36" s="321"/>
      <c r="F36" s="322"/>
      <c r="G36" s="323"/>
      <c r="H36" s="322"/>
      <c r="I36" s="322"/>
      <c r="J36" s="324"/>
      <c r="K36" s="323"/>
      <c r="L36" s="760"/>
      <c r="M36" s="828"/>
      <c r="N36" s="325"/>
      <c r="O36" s="325"/>
      <c r="P36" s="760"/>
      <c r="Q36" s="760"/>
      <c r="R36" s="761"/>
      <c r="S36" s="1109"/>
      <c r="T36" s="326"/>
      <c r="U36" s="325"/>
      <c r="V36" s="325"/>
      <c r="W36" s="760"/>
      <c r="X36" s="324"/>
      <c r="Y36" s="325"/>
      <c r="Z36" s="1109"/>
      <c r="AA36" s="710"/>
      <c r="AB36" s="324"/>
      <c r="AC36" s="107">
        <f t="shared" si="0"/>
        <v>1</v>
      </c>
      <c r="AD36" s="278">
        <v>0</v>
      </c>
      <c r="AE36" s="278">
        <v>0</v>
      </c>
      <c r="AF36" s="278">
        <v>0</v>
      </c>
      <c r="AI36" s="70"/>
      <c r="AJ36" s="679"/>
      <c r="AK36" s="70"/>
      <c r="AL36" s="70"/>
      <c r="AM36" s="70"/>
      <c r="AN36" s="70"/>
      <c r="AO36" s="70"/>
      <c r="AP36" s="70"/>
      <c r="AS36" s="23" t="str">
        <f t="shared" si="3"/>
        <v>N/A</v>
      </c>
      <c r="AT36" s="23" t="str">
        <f t="shared" si="1"/>
        <v>N/A</v>
      </c>
      <c r="AU36" s="23" t="str">
        <f t="shared" si="2"/>
        <v>N/A</v>
      </c>
      <c r="AV36" s="23"/>
      <c r="AW36" s="23"/>
      <c r="AX36" s="23"/>
      <c r="AZ36" s="324"/>
    </row>
    <row r="37" spans="1:58" ht="18.75" x14ac:dyDescent="0.25">
      <c r="A37" s="1091">
        <v>28</v>
      </c>
      <c r="B37" s="1092" t="s">
        <v>67</v>
      </c>
      <c r="C37" s="1099"/>
      <c r="D37" s="837"/>
      <c r="E37" s="327" t="s">
        <v>47</v>
      </c>
      <c r="F37" s="315"/>
      <c r="G37" s="316"/>
      <c r="H37" s="315"/>
      <c r="I37" s="315"/>
      <c r="J37" s="328"/>
      <c r="K37" s="329"/>
      <c r="L37" s="752"/>
      <c r="M37" s="829"/>
      <c r="N37" s="333"/>
      <c r="O37" s="332"/>
      <c r="P37" s="753"/>
      <c r="Q37" s="753"/>
      <c r="R37" s="762"/>
      <c r="S37" s="754"/>
      <c r="T37" s="319"/>
      <c r="U37" s="333"/>
      <c r="V37" s="332"/>
      <c r="W37" s="753"/>
      <c r="X37" s="331"/>
      <c r="Y37" s="332"/>
      <c r="Z37" s="752"/>
      <c r="AA37" s="133"/>
      <c r="AB37" s="330"/>
      <c r="AC37" s="107">
        <f t="shared" si="0"/>
        <v>1</v>
      </c>
      <c r="AD37" s="275">
        <v>0</v>
      </c>
      <c r="AE37" s="275">
        <v>0</v>
      </c>
      <c r="AF37" s="275">
        <v>0</v>
      </c>
      <c r="AI37" s="70"/>
      <c r="AJ37" s="679" t="s">
        <v>47</v>
      </c>
      <c r="AK37" s="70"/>
      <c r="AL37" s="70"/>
      <c r="AM37" s="70"/>
      <c r="AN37" s="70"/>
      <c r="AO37" s="70"/>
      <c r="AP37" s="70"/>
      <c r="AS37" s="23" t="str">
        <f t="shared" si="3"/>
        <v>N/A</v>
      </c>
      <c r="AT37" s="23" t="str">
        <f t="shared" si="1"/>
        <v>N/A</v>
      </c>
      <c r="AU37" s="23" t="str">
        <f t="shared" si="2"/>
        <v>N/A</v>
      </c>
      <c r="AV37" s="23"/>
      <c r="AW37" s="23"/>
      <c r="AX37" s="23"/>
      <c r="AZ37" s="330"/>
    </row>
    <row r="38" spans="1:58" x14ac:dyDescent="0.25">
      <c r="A38" s="1091">
        <v>29</v>
      </c>
      <c r="B38" s="1092" t="s">
        <v>67</v>
      </c>
      <c r="C38" s="938" t="s">
        <v>119</v>
      </c>
      <c r="D38" s="837" t="s">
        <v>119</v>
      </c>
      <c r="E38" s="874" t="str">
        <f>VLOOKUP(D38,Poeng!$B$10:$Q$251,Poeng!D$1,FALSE)</f>
        <v>Hea 01 Visual comfort</v>
      </c>
      <c r="F38" s="879">
        <f>VLOOKUP(D38,Poeng!$B$10:$AA$251,Poeng!AA$1,FALSE)</f>
        <v>7</v>
      </c>
      <c r="G38" s="1014"/>
      <c r="H38" s="880" t="str">
        <f>VLOOKUP(D38,Poeng!$B$10:$AH$251,Poeng!AH$1,FALSE)&amp;" c. "&amp;ROUND(VLOOKUP(D38,Poeng!$B$10:$AD$251,Poeng!AD$1,FALSE)*100,1)&amp;" %"</f>
        <v>0 c. 0 %</v>
      </c>
      <c r="I38" s="937" t="str">
        <f>VLOOKUP(D38,Poeng!$B$10:$BD$251,Poeng!BD$1,FALSE)</f>
        <v>N/A</v>
      </c>
      <c r="J38" s="888"/>
      <c r="K38" s="889"/>
      <c r="L38" s="890"/>
      <c r="M38" s="828"/>
      <c r="N38" s="1015"/>
      <c r="O38" s="891" t="str">
        <f>VLOOKUP(D38,Poeng!$B$10:$BB$251,Poeng!AI$1,FALSE)&amp;" c. "&amp;ROUND(VLOOKUP(D38,Poeng!$B$10:$BB$251,Poeng!AE$1,FALSE)*100,1)&amp;" %"</f>
        <v>0 c. 0 %</v>
      </c>
      <c r="P38" s="123" t="str">
        <f>VLOOKUP(D38,Poeng!$B$10:$BG$251,Poeng!BG$1,FALSE)</f>
        <v>N/A</v>
      </c>
      <c r="Q38" s="755"/>
      <c r="R38" s="756"/>
      <c r="S38" s="749"/>
      <c r="T38" s="319"/>
      <c r="U38" s="1015"/>
      <c r="V38" s="891" t="str">
        <f>VLOOKUP(D38,Poeng!$B$10:$BB$251,Poeng!AJ$1,FALSE)&amp;" c. "&amp;ROUND(VLOOKUP(D38,Poeng!$B$10:$BB$251,Poeng!AF$1,FALSE)*100,1)&amp;" %"</f>
        <v>0 c. 0 %</v>
      </c>
      <c r="W38" s="123" t="str">
        <f>VLOOKUP(D38,Poeng!$B$10:$BJ$251,Poeng!BJ$1,FALSE)</f>
        <v>N/A</v>
      </c>
      <c r="X38" s="81"/>
      <c r="Y38" s="80"/>
      <c r="Z38" s="749"/>
      <c r="AA38" s="133"/>
      <c r="AB38" s="691" t="s">
        <v>14</v>
      </c>
      <c r="AC38" s="107">
        <f t="shared" si="0"/>
        <v>1</v>
      </c>
      <c r="AD38" s="3" t="e">
        <f>VLOOKUP(K38,'Assessment Details'!$O$45:$P$48,2,FALSE)</f>
        <v>#N/A</v>
      </c>
      <c r="AE38" s="3" t="e">
        <f>VLOOKUP(R38,'Assessment Details'!$O$45:$P$48,2,FALSE)</f>
        <v>#N/A</v>
      </c>
      <c r="AF38" s="3" t="e">
        <f>VLOOKUP(Y38,'Assessment Details'!$O$45:$P$48,2,FALSE)</f>
        <v>#N/A</v>
      </c>
      <c r="AI38" s="70" t="str">
        <f>ais_yes</f>
        <v>Ja</v>
      </c>
      <c r="AJ38" s="679" t="s">
        <v>117</v>
      </c>
      <c r="AK38" s="659" t="s">
        <v>445</v>
      </c>
      <c r="AL38" s="659" t="s">
        <v>443</v>
      </c>
      <c r="AM38" s="659" t="s">
        <v>444</v>
      </c>
      <c r="AN38" s="659" t="s">
        <v>458</v>
      </c>
      <c r="AO38" s="659" t="s">
        <v>457</v>
      </c>
      <c r="AP38" s="659" t="s">
        <v>459</v>
      </c>
      <c r="AR38" s="1" t="str">
        <f>IF($AJ$8=ais_no,AIS_NA,"No")</f>
        <v>No</v>
      </c>
      <c r="AS38" s="23" t="str">
        <f t="shared" ref="AS38:AX38" si="4">IF(OR($AJ$4=ais_no,$AJ$8=ais_no),AIS_NA,IF(AK38="",AIS_NA,AK38))</f>
        <v>N/A</v>
      </c>
      <c r="AT38" s="23" t="str">
        <f t="shared" si="4"/>
        <v>N/A</v>
      </c>
      <c r="AU38" s="23" t="str">
        <f t="shared" si="4"/>
        <v>N/A</v>
      </c>
      <c r="AV38" s="23" t="str">
        <f t="shared" si="4"/>
        <v>N/A</v>
      </c>
      <c r="AW38" s="23" t="str">
        <f t="shared" si="4"/>
        <v>N/A</v>
      </c>
      <c r="AX38" s="23" t="str">
        <f t="shared" si="4"/>
        <v>N/A</v>
      </c>
      <c r="AZ38" s="648"/>
    </row>
    <row r="39" spans="1:58" x14ac:dyDescent="0.25">
      <c r="A39" s="1091">
        <v>30</v>
      </c>
      <c r="B39" s="1092" t="s">
        <v>67</v>
      </c>
      <c r="C39" s="1097" t="str">
        <f>C38</f>
        <v>Hea 01</v>
      </c>
      <c r="D39" s="837" t="s">
        <v>732</v>
      </c>
      <c r="E39" s="875" t="str">
        <f>VLOOKUP(D39,Poeng!$B$10:$Q$251,Poeng!D$1,FALSE)</f>
        <v>Pre-requisite: flicker reduction and  daylight calculations</v>
      </c>
      <c r="F39" s="122" t="str">
        <f>VLOOKUP(D39,Poeng!$B$10:$AA$251,Poeng!AA$1,FALSE)</f>
        <v>Yes/No</v>
      </c>
      <c r="G39" s="43"/>
      <c r="H39" s="123" t="str">
        <f>VLOOKUP(D39,Poeng!$B$10:$AD$251,Poeng!AD$1,FALSE)</f>
        <v>-</v>
      </c>
      <c r="I39" s="124" t="str">
        <f>VLOOKUP(D39,Poeng!$B$10:$BD$251,Poeng!BD$1,FALSE)</f>
        <v>Unclassified</v>
      </c>
      <c r="J39" s="1134"/>
      <c r="K39" s="1135" t="s">
        <v>0</v>
      </c>
      <c r="L39" s="1136"/>
      <c r="M39" s="828"/>
      <c r="N39" s="83"/>
      <c r="O39" s="123" t="str">
        <f>VLOOKUP(D39,Poeng!$B$10:$BB$251,Poeng!AE$1,FALSE)</f>
        <v>-</v>
      </c>
      <c r="P39" s="123" t="str">
        <f>VLOOKUP(D39,Poeng!$B$10:$BG$251,Poeng!BG$1,FALSE)</f>
        <v>Unclassified</v>
      </c>
      <c r="Q39" s="755"/>
      <c r="R39" s="756"/>
      <c r="S39" s="749"/>
      <c r="T39" s="319"/>
      <c r="U39" s="83"/>
      <c r="V39" s="123" t="str">
        <f>VLOOKUP(D39,Poeng!$B$10:$BB$251,Poeng!AF$1,FALSE)</f>
        <v>-</v>
      </c>
      <c r="W39" s="123" t="str">
        <f>VLOOKUP(D39,Poeng!$B$10:$BJ$251,Poeng!BJ$1,FALSE)</f>
        <v>Unclassified</v>
      </c>
      <c r="X39" s="81"/>
      <c r="Y39" s="80"/>
      <c r="Z39" s="749"/>
      <c r="AA39" s="133"/>
      <c r="AB39" s="691"/>
      <c r="AC39" s="107">
        <f t="shared" ref="AC39" si="5">IF(F39="",1,IF(F39=0,2,1))</f>
        <v>1</v>
      </c>
      <c r="AD39" s="3">
        <f>VLOOKUP(K39,'Assessment Details'!$O$45:$P$48,2,FALSE)</f>
        <v>4</v>
      </c>
      <c r="AE39" s="3" t="e">
        <f>VLOOKUP(R39,'Assessment Details'!$O$45:$P$48,2,FALSE)</f>
        <v>#N/A</v>
      </c>
      <c r="AF39" s="3" t="e">
        <f>VLOOKUP(Y39,'Assessment Details'!$O$45:$P$48,2,FALSE)</f>
        <v>#N/A</v>
      </c>
      <c r="AI39" s="70"/>
      <c r="AJ39" s="679"/>
      <c r="AK39" s="659"/>
      <c r="AL39" s="659"/>
      <c r="AM39" s="659"/>
      <c r="AN39" s="659"/>
      <c r="AO39" s="659"/>
      <c r="AP39" s="659"/>
      <c r="AS39" s="23"/>
      <c r="AT39" s="23"/>
      <c r="AU39" s="23"/>
      <c r="AV39" s="23"/>
      <c r="AW39" s="23"/>
      <c r="AX39" s="23"/>
      <c r="AZ39" s="648"/>
    </row>
    <row r="40" spans="1:58" x14ac:dyDescent="0.25">
      <c r="A40" s="1091">
        <v>31</v>
      </c>
      <c r="B40" s="1092" t="s">
        <v>67</v>
      </c>
      <c r="C40" s="1097" t="str">
        <f>C38</f>
        <v>Hea 01</v>
      </c>
      <c r="D40" s="837" t="s">
        <v>733</v>
      </c>
      <c r="E40" s="875" t="str">
        <f>VLOOKUP(D40,Poeng!$B$10:$Q$251,Poeng!D$1,FALSE)</f>
        <v>Daylighting</v>
      </c>
      <c r="F40" s="122">
        <f>VLOOKUP(D40,Poeng!$B$10:$AA$251,Poeng!AA$1,FALSE)</f>
        <v>3</v>
      </c>
      <c r="G40" s="43"/>
      <c r="H40" s="123">
        <f>VLOOKUP(D40,Poeng!$B$10:$AD$251,Poeng!AD$1,FALSE)</f>
        <v>0</v>
      </c>
      <c r="I40" s="124" t="str">
        <f>VLOOKUP(D40,Poeng!$B$10:$BD$251,Poeng!BD$1,FALSE)</f>
        <v>N/A</v>
      </c>
      <c r="J40" s="80"/>
      <c r="K40" s="281" t="s">
        <v>0</v>
      </c>
      <c r="L40" s="809"/>
      <c r="M40" s="829"/>
      <c r="N40" s="83"/>
      <c r="O40" s="123">
        <f>VLOOKUP(D40,Poeng!$B$10:$BB$251,Poeng!AE$1,FALSE)</f>
        <v>0</v>
      </c>
      <c r="P40" s="123" t="str">
        <f>VLOOKUP(D40,Poeng!$B$10:$BG$251,Poeng!BG$1,FALSE)</f>
        <v>N/A</v>
      </c>
      <c r="Q40" s="755"/>
      <c r="R40" s="756" t="s">
        <v>0</v>
      </c>
      <c r="S40" s="749"/>
      <c r="T40" s="319"/>
      <c r="U40" s="83"/>
      <c r="V40" s="123">
        <f>VLOOKUP(D40,Poeng!$B$10:$BB$251,Poeng!AF$1,FALSE)</f>
        <v>0</v>
      </c>
      <c r="W40" s="123" t="str">
        <f>VLOOKUP(D40,Poeng!$B$10:$BJ$251,Poeng!BJ$1,FALSE)</f>
        <v>N/A</v>
      </c>
      <c r="X40" s="81"/>
      <c r="Y40" s="80"/>
      <c r="Z40" s="749"/>
      <c r="AA40" s="133"/>
      <c r="AB40" s="691"/>
      <c r="AC40" s="107">
        <f t="shared" si="0"/>
        <v>1</v>
      </c>
      <c r="AD40" s="3">
        <f>VLOOKUP(K40,'Assessment Details'!$O$45:$P$48,2,FALSE)</f>
        <v>4</v>
      </c>
      <c r="AE40" s="3">
        <f>VLOOKUP(R40,'Assessment Details'!$O$45:$P$48,2,FALSE)</f>
        <v>4</v>
      </c>
      <c r="AF40" s="3" t="e">
        <f>VLOOKUP(Y40,'Assessment Details'!$O$45:$P$48,2,FALSE)</f>
        <v>#N/A</v>
      </c>
      <c r="AI40" s="70"/>
      <c r="AJ40" s="679"/>
      <c r="AK40" s="659"/>
      <c r="AL40" s="659"/>
      <c r="AM40" s="659"/>
      <c r="AN40" s="659"/>
      <c r="AO40" s="659"/>
      <c r="AP40" s="659"/>
      <c r="AS40" s="23"/>
      <c r="AT40" s="23"/>
      <c r="AU40" s="23"/>
      <c r="AV40" s="23"/>
      <c r="AW40" s="23"/>
      <c r="AX40" s="23"/>
      <c r="AZ40" s="648"/>
    </row>
    <row r="41" spans="1:58" x14ac:dyDescent="0.25">
      <c r="A41" s="1091">
        <v>32</v>
      </c>
      <c r="B41" s="1092" t="s">
        <v>67</v>
      </c>
      <c r="C41" s="1097" t="str">
        <f t="shared" ref="C41:C99" si="6">C40</f>
        <v>Hea 01</v>
      </c>
      <c r="D41" s="837" t="s">
        <v>734</v>
      </c>
      <c r="E41" s="875" t="str">
        <f>VLOOKUP(D41,Poeng!$B$10:$Q$251,Poeng!D$1,FALSE)</f>
        <v xml:space="preserve">Control of glare from sunlight </v>
      </c>
      <c r="F41" s="122">
        <f>VLOOKUP(D41,Poeng!$B$10:$AA$251,Poeng!AA$1,FALSE)</f>
        <v>1</v>
      </c>
      <c r="G41" s="43"/>
      <c r="H41" s="123">
        <f>VLOOKUP(D41,Poeng!$B$10:$AD$251,Poeng!AD$1,FALSE)</f>
        <v>0</v>
      </c>
      <c r="I41" s="124" t="str">
        <f>VLOOKUP(D41,Poeng!$B$10:$BD$251,Poeng!BD$1,FALSE)</f>
        <v>N/A</v>
      </c>
      <c r="J41" s="80"/>
      <c r="K41" s="281"/>
      <c r="L41" s="809"/>
      <c r="M41" s="829"/>
      <c r="N41" s="83"/>
      <c r="O41" s="123">
        <f>VLOOKUP(D41,Poeng!$B$10:$BB$251,Poeng!AE$1,FALSE)</f>
        <v>0</v>
      </c>
      <c r="P41" s="123" t="str">
        <f>VLOOKUP(D41,Poeng!$B$10:$BG$251,Poeng!BG$1,FALSE)</f>
        <v>N/A</v>
      </c>
      <c r="Q41" s="755"/>
      <c r="R41" s="756"/>
      <c r="S41" s="749"/>
      <c r="T41" s="319"/>
      <c r="U41" s="83"/>
      <c r="V41" s="123">
        <f>VLOOKUP(D41,Poeng!$B$10:$BB$251,Poeng!AF$1,FALSE)</f>
        <v>0</v>
      </c>
      <c r="W41" s="123" t="str">
        <f>VLOOKUP(D41,Poeng!$B$10:$BJ$251,Poeng!BJ$1,FALSE)</f>
        <v>N/A</v>
      </c>
      <c r="X41" s="81"/>
      <c r="Y41" s="80"/>
      <c r="Z41" s="749"/>
      <c r="AA41" s="133"/>
      <c r="AB41" s="691"/>
      <c r="AC41" s="107">
        <f t="shared" si="0"/>
        <v>1</v>
      </c>
      <c r="AD41" s="3" t="e">
        <f>VLOOKUP(K41,'Assessment Details'!$O$45:$P$48,2,FALSE)</f>
        <v>#N/A</v>
      </c>
      <c r="AE41" s="3" t="e">
        <f>VLOOKUP(R41,'Assessment Details'!$O$45:$P$48,2,FALSE)</f>
        <v>#N/A</v>
      </c>
      <c r="AF41" s="3" t="e">
        <f>VLOOKUP(Y41,'Assessment Details'!$O$45:$P$48,2,FALSE)</f>
        <v>#N/A</v>
      </c>
      <c r="AI41" s="70"/>
      <c r="AJ41" s="679"/>
      <c r="AK41" s="659"/>
      <c r="AL41" s="659"/>
      <c r="AM41" s="659"/>
      <c r="AN41" s="659"/>
      <c r="AO41" s="659"/>
      <c r="AP41" s="659"/>
      <c r="AS41" s="23"/>
      <c r="AT41" s="23"/>
      <c r="AU41" s="23"/>
      <c r="AV41" s="23"/>
      <c r="AW41" s="23"/>
      <c r="AX41" s="23"/>
      <c r="AZ41" s="648"/>
    </row>
    <row r="42" spans="1:58" x14ac:dyDescent="0.25">
      <c r="A42" s="1091">
        <v>33</v>
      </c>
      <c r="B42" s="1092" t="s">
        <v>67</v>
      </c>
      <c r="C42" s="1097" t="str">
        <f t="shared" si="6"/>
        <v>Hea 01</v>
      </c>
      <c r="D42" s="837" t="s">
        <v>735</v>
      </c>
      <c r="E42" s="875" t="str">
        <f>VLOOKUP(D42,Poeng!$B$10:$Q$251,Poeng!D$1,FALSE)</f>
        <v xml:space="preserve">View out </v>
      </c>
      <c r="F42" s="122">
        <f>VLOOKUP(D42,Poeng!$B$10:$AA$251,Poeng!AA$1,FALSE)</f>
        <v>1</v>
      </c>
      <c r="G42" s="43"/>
      <c r="H42" s="123">
        <f>VLOOKUP(D42,Poeng!$B$10:$AD$251,Poeng!AD$1,FALSE)</f>
        <v>0</v>
      </c>
      <c r="I42" s="124" t="str">
        <f>VLOOKUP(D42,Poeng!$B$10:$BD$251,Poeng!BD$1,FALSE)</f>
        <v>N/A</v>
      </c>
      <c r="J42" s="80"/>
      <c r="K42" s="281"/>
      <c r="L42" s="809"/>
      <c r="M42" s="829"/>
      <c r="N42" s="83"/>
      <c r="O42" s="123">
        <f>VLOOKUP(D42,Poeng!$B$10:$BB$251,Poeng!AE$1,FALSE)</f>
        <v>0</v>
      </c>
      <c r="P42" s="123" t="str">
        <f>VLOOKUP(D42,Poeng!$B$10:$BG$251,Poeng!BG$1,FALSE)</f>
        <v>N/A</v>
      </c>
      <c r="Q42" s="755"/>
      <c r="R42" s="756"/>
      <c r="S42" s="1110"/>
      <c r="T42" s="319"/>
      <c r="U42" s="83"/>
      <c r="V42" s="123">
        <f>VLOOKUP(D42,Poeng!$B$10:$BB$251,Poeng!AF$1,FALSE)</f>
        <v>0</v>
      </c>
      <c r="W42" s="123" t="str">
        <f>VLOOKUP(D42,Poeng!$B$10:$BJ$251,Poeng!BJ$1,FALSE)</f>
        <v>N/A</v>
      </c>
      <c r="X42" s="81"/>
      <c r="Y42" s="80"/>
      <c r="Z42" s="1110"/>
      <c r="AA42" s="133"/>
      <c r="AB42" s="691"/>
      <c r="AC42" s="107">
        <f t="shared" si="0"/>
        <v>1</v>
      </c>
      <c r="AD42" s="3" t="e">
        <f>VLOOKUP(K42,'Assessment Details'!$O$45:$P$48,2,FALSE)</f>
        <v>#N/A</v>
      </c>
      <c r="AE42" s="3" t="e">
        <f>VLOOKUP(R42,'Assessment Details'!$O$45:$P$48,2,FALSE)</f>
        <v>#N/A</v>
      </c>
      <c r="AF42" s="3" t="e">
        <f>VLOOKUP(Y42,'Assessment Details'!$O$45:$P$48,2,FALSE)</f>
        <v>#N/A</v>
      </c>
      <c r="AI42" s="70"/>
      <c r="AJ42" s="679"/>
      <c r="AK42" s="659"/>
      <c r="AL42" s="659"/>
      <c r="AM42" s="659"/>
      <c r="AN42" s="659"/>
      <c r="AO42" s="659"/>
      <c r="AP42" s="659"/>
      <c r="AS42" s="23"/>
      <c r="AT42" s="23"/>
      <c r="AU42" s="23"/>
      <c r="AV42" s="23"/>
      <c r="AW42" s="23"/>
      <c r="AX42" s="23"/>
      <c r="AZ42" s="648"/>
    </row>
    <row r="43" spans="1:58" x14ac:dyDescent="0.25">
      <c r="A43" s="1091">
        <v>34</v>
      </c>
      <c r="B43" s="1092" t="s">
        <v>67</v>
      </c>
      <c r="C43" s="1097" t="str">
        <f t="shared" si="6"/>
        <v>Hea 01</v>
      </c>
      <c r="D43" s="837" t="s">
        <v>736</v>
      </c>
      <c r="E43" s="875" t="str">
        <f>VLOOKUP(D43,Poeng!$B$10:$Q$251,Poeng!D$1,FALSE)</f>
        <v xml:space="preserve">Sunlight </v>
      </c>
      <c r="F43" s="122">
        <f>VLOOKUP(D43,Poeng!$B$10:$AA$251,Poeng!AA$1,FALSE)</f>
        <v>1</v>
      </c>
      <c r="G43" s="43"/>
      <c r="H43" s="123">
        <f>VLOOKUP(D43,Poeng!$B$10:$AD$251,Poeng!AD$1,FALSE)</f>
        <v>0</v>
      </c>
      <c r="I43" s="124" t="str">
        <f>VLOOKUP(D43,Poeng!$B$10:$BD$251,Poeng!BD$1,FALSE)</f>
        <v>N/A</v>
      </c>
      <c r="J43" s="80"/>
      <c r="K43" s="281"/>
      <c r="L43" s="809"/>
      <c r="M43" s="829"/>
      <c r="N43" s="83"/>
      <c r="O43" s="123">
        <f>VLOOKUP(D43,Poeng!$B$10:$BB$251,Poeng!AE$1,FALSE)</f>
        <v>0</v>
      </c>
      <c r="P43" s="123" t="str">
        <f>VLOOKUP(D43,Poeng!$B$10:$BG$251,Poeng!BG$1,FALSE)</f>
        <v>N/A</v>
      </c>
      <c r="Q43" s="755"/>
      <c r="R43" s="756"/>
      <c r="S43" s="1110"/>
      <c r="T43" s="319"/>
      <c r="U43" s="83"/>
      <c r="V43" s="123">
        <f>VLOOKUP(D43,Poeng!$B$10:$BB$251,Poeng!AF$1,FALSE)</f>
        <v>0</v>
      </c>
      <c r="W43" s="123" t="str">
        <f>VLOOKUP(D43,Poeng!$B$10:$BJ$251,Poeng!BJ$1,FALSE)</f>
        <v>N/A</v>
      </c>
      <c r="X43" s="81"/>
      <c r="Y43" s="80"/>
      <c r="Z43" s="1110"/>
      <c r="AA43" s="133"/>
      <c r="AB43" s="691"/>
      <c r="AC43" s="107">
        <f t="shared" si="0"/>
        <v>1</v>
      </c>
      <c r="AD43" s="3" t="e">
        <f>VLOOKUP(K43,'Assessment Details'!$O$45:$P$48,2,FALSE)</f>
        <v>#N/A</v>
      </c>
      <c r="AE43" s="3" t="e">
        <f>VLOOKUP(R43,'Assessment Details'!$O$45:$P$48,2,FALSE)</f>
        <v>#N/A</v>
      </c>
      <c r="AF43" s="3" t="e">
        <f>VLOOKUP(Y43,'Assessment Details'!$O$45:$P$48,2,FALSE)</f>
        <v>#N/A</v>
      </c>
      <c r="AI43" s="70"/>
      <c r="AJ43" s="679"/>
      <c r="AK43" s="659"/>
      <c r="AL43" s="659"/>
      <c r="AM43" s="659"/>
      <c r="AN43" s="659"/>
      <c r="AO43" s="659"/>
      <c r="AP43" s="659"/>
      <c r="AS43" s="23"/>
      <c r="AT43" s="23"/>
      <c r="AU43" s="23"/>
      <c r="AV43" s="23"/>
      <c r="AW43" s="23"/>
      <c r="AX43" s="23"/>
      <c r="AZ43" s="648"/>
    </row>
    <row r="44" spans="1:58" x14ac:dyDescent="0.25">
      <c r="A44" s="1091">
        <v>35</v>
      </c>
      <c r="B44" s="1092" t="s">
        <v>67</v>
      </c>
      <c r="C44" s="1097" t="str">
        <f t="shared" si="6"/>
        <v>Hea 01</v>
      </c>
      <c r="D44" s="837" t="s">
        <v>961</v>
      </c>
      <c r="E44" s="875" t="str">
        <f>VLOOKUP(D44,Poeng!$B$10:$Q$251,Poeng!D$1,FALSE)</f>
        <v xml:space="preserve">Internal and external lighting levels, zoning and control </v>
      </c>
      <c r="F44" s="122">
        <f>VLOOKUP(D44,Poeng!$B$10:$AA$251,Poeng!AA$1,FALSE)</f>
        <v>1</v>
      </c>
      <c r="G44" s="43"/>
      <c r="H44" s="123">
        <f>VLOOKUP(D44,Poeng!$B$10:$AD$251,Poeng!AD$1,FALSE)</f>
        <v>0</v>
      </c>
      <c r="I44" s="124" t="str">
        <f>VLOOKUP(D44,Poeng!$B$10:$BD$251,Poeng!BD$1,FALSE)</f>
        <v>N/A</v>
      </c>
      <c r="J44" s="80"/>
      <c r="K44" s="281"/>
      <c r="L44" s="809"/>
      <c r="M44" s="829"/>
      <c r="N44" s="83"/>
      <c r="O44" s="123">
        <f>VLOOKUP(D44,Poeng!$B$10:$BB$251,Poeng!AE$1,FALSE)</f>
        <v>0</v>
      </c>
      <c r="P44" s="123" t="str">
        <f>VLOOKUP(D44,Poeng!$B$10:$BG$251,Poeng!BG$1,FALSE)</f>
        <v>N/A</v>
      </c>
      <c r="Q44" s="755"/>
      <c r="R44" s="756"/>
      <c r="S44" s="749"/>
      <c r="T44" s="319"/>
      <c r="U44" s="83"/>
      <c r="V44" s="123">
        <f>VLOOKUP(D44,Poeng!$B$10:$BB$251,Poeng!AF$1,FALSE)</f>
        <v>0</v>
      </c>
      <c r="W44" s="123" t="str">
        <f>VLOOKUP(D44,Poeng!$B$10:$BJ$251,Poeng!BJ$1,FALSE)</f>
        <v>N/A</v>
      </c>
      <c r="X44" s="81"/>
      <c r="Y44" s="80"/>
      <c r="Z44" s="749"/>
      <c r="AA44" s="133"/>
      <c r="AB44" s="691"/>
      <c r="AC44" s="107">
        <f t="shared" si="0"/>
        <v>1</v>
      </c>
      <c r="AD44" s="3" t="e">
        <f>VLOOKUP(K44,'Assessment Details'!$O$45:$P$48,2,FALSE)</f>
        <v>#N/A</v>
      </c>
      <c r="AE44" s="3" t="e">
        <f>VLOOKUP(R44,'Assessment Details'!$O$45:$P$48,2,FALSE)</f>
        <v>#N/A</v>
      </c>
      <c r="AF44" s="3" t="e">
        <f>VLOOKUP(Y44,'Assessment Details'!$O$45:$P$48,2,FALSE)</f>
        <v>#N/A</v>
      </c>
      <c r="AI44" s="70"/>
      <c r="AJ44" s="679"/>
      <c r="AK44" s="659"/>
      <c r="AL44" s="659"/>
      <c r="AM44" s="659"/>
      <c r="AN44" s="659"/>
      <c r="AO44" s="659"/>
      <c r="AP44" s="659"/>
      <c r="AS44" s="23"/>
      <c r="AT44" s="23"/>
      <c r="AU44" s="23"/>
      <c r="AV44" s="23"/>
      <c r="AW44" s="23"/>
      <c r="AX44" s="23"/>
      <c r="AZ44" s="648"/>
    </row>
    <row r="45" spans="1:58" x14ac:dyDescent="0.25">
      <c r="A45" s="1091">
        <v>36</v>
      </c>
      <c r="B45" s="1092" t="s">
        <v>67</v>
      </c>
      <c r="C45" s="938" t="s">
        <v>120</v>
      </c>
      <c r="D45" s="837" t="s">
        <v>120</v>
      </c>
      <c r="E45" s="874" t="str">
        <f>VLOOKUP(D45,Poeng!$B$10:$Q$251,Poeng!D$1,FALSE)</f>
        <v>Hea 02 Indoor air quality</v>
      </c>
      <c r="F45" s="879">
        <f>VLOOKUP(D45,Poeng!$B$10:$AA$251,Poeng!AA$1,FALSE)</f>
        <v>4</v>
      </c>
      <c r="G45" s="1015"/>
      <c r="H45" s="880" t="str">
        <f>VLOOKUP(D45,Poeng!$B$10:$AH$251,Poeng!AH$1,FALSE)&amp;" c. "&amp;ROUND(VLOOKUP(D45,Poeng!$B$10:$AD$251,Poeng!AD$1,FALSE)*100,1)&amp;" %"</f>
        <v>0 c. 0 %</v>
      </c>
      <c r="I45" s="938" t="str">
        <f>VLOOKUP(D45,Poeng!$B$10:$BD$251,Poeng!BD$1,FALSE)</f>
        <v>N/A</v>
      </c>
      <c r="J45" s="80"/>
      <c r="K45" s="281"/>
      <c r="L45" s="809"/>
      <c r="M45" s="829"/>
      <c r="N45" s="1015"/>
      <c r="O45" s="891" t="str">
        <f>VLOOKUP(D45,Poeng!$B$10:$BB$251,Poeng!AI$1,FALSE)&amp;" c. "&amp;ROUND(VLOOKUP(D45,Poeng!$B$10:$BB$251,Poeng!AE$1,FALSE)*100,1)&amp;" %"</f>
        <v>0 c. 0 %</v>
      </c>
      <c r="P45" s="123" t="str">
        <f>VLOOKUP(D45,Poeng!$B$10:$BG$251,Poeng!BG$1,FALSE)</f>
        <v>N/A</v>
      </c>
      <c r="Q45" s="755"/>
      <c r="R45" s="756"/>
      <c r="S45" s="749"/>
      <c r="T45" s="319"/>
      <c r="U45" s="1015"/>
      <c r="V45" s="891" t="str">
        <f>VLOOKUP(D45,Poeng!$B$10:$BB$251,Poeng!AJ$1,FALSE)&amp;" c. "&amp;ROUND(VLOOKUP(D45,Poeng!$B$10:$BB$251,Poeng!AF$1,FALSE)*100,1)&amp;" %"</f>
        <v>0 c. 0 %</v>
      </c>
      <c r="W45" s="123" t="str">
        <f>VLOOKUP(D45,Poeng!$B$10:$BJ$251,Poeng!BJ$1,FALSE)</f>
        <v>N/A</v>
      </c>
      <c r="X45" s="81"/>
      <c r="Y45" s="80"/>
      <c r="Z45" s="749"/>
      <c r="AA45" s="133"/>
      <c r="AB45" s="648" t="s">
        <v>448</v>
      </c>
      <c r="AC45" s="107">
        <f t="shared" si="0"/>
        <v>1</v>
      </c>
      <c r="AD45" s="3" t="e">
        <f>VLOOKUP(K45,'Assessment Details'!$O$45:$P$48,2,FALSE)</f>
        <v>#N/A</v>
      </c>
      <c r="AE45" s="3" t="e">
        <f>VLOOKUP(R45,'Assessment Details'!$O$45:$P$48,2,FALSE)</f>
        <v>#N/A</v>
      </c>
      <c r="AF45" s="3" t="e">
        <f>VLOOKUP(Y45,'Assessment Details'!$O$45:$P$48,2,FALSE)</f>
        <v>#N/A</v>
      </c>
      <c r="AI45" s="70" t="str">
        <f>ais_yes</f>
        <v>Ja</v>
      </c>
      <c r="AJ45" s="679" t="s">
        <v>114</v>
      </c>
      <c r="AK45" s="659" t="s">
        <v>446</v>
      </c>
      <c r="AL45" s="659" t="s">
        <v>447</v>
      </c>
      <c r="AM45" s="659" t="s">
        <v>448</v>
      </c>
      <c r="AN45" s="659" t="s">
        <v>449</v>
      </c>
      <c r="AO45" s="659" t="s">
        <v>440</v>
      </c>
      <c r="AP45" s="659"/>
      <c r="AR45" s="1" t="s">
        <v>14</v>
      </c>
      <c r="AS45" s="23" t="str">
        <f t="shared" si="3"/>
        <v>N/A</v>
      </c>
      <c r="AT45" s="23" t="str">
        <f t="shared" si="1"/>
        <v>N/A</v>
      </c>
      <c r="AU45" s="23" t="str">
        <f t="shared" si="2"/>
        <v>N/A</v>
      </c>
      <c r="AV45" s="23" t="str">
        <f t="shared" ref="AV45" si="7">IF($AJ$4=ais_no,AIS_NA,IF(AN45="",AIS_NA,AN45))</f>
        <v>N/A</v>
      </c>
      <c r="AW45" s="23" t="str">
        <f t="shared" ref="AW45" si="8">IF($AJ$4=ais_no,AIS_NA,IF(AO45="",AIS_NA,AO45))</f>
        <v>N/A</v>
      </c>
      <c r="AX45" s="23"/>
      <c r="AZ45" s="648"/>
    </row>
    <row r="46" spans="1:58" x14ac:dyDescent="0.25">
      <c r="A46" s="1091">
        <v>37</v>
      </c>
      <c r="B46" s="1092" t="s">
        <v>67</v>
      </c>
      <c r="C46" s="1097" t="str">
        <f t="shared" si="6"/>
        <v>Hea 02</v>
      </c>
      <c r="D46" s="19" t="s">
        <v>737</v>
      </c>
      <c r="E46" s="875" t="str">
        <f>VLOOKUP(D46,Poeng!$B$10:$Q$251,Poeng!D$1,FALSE)</f>
        <v xml:space="preserve">Pre-requisite: indoor air quality </v>
      </c>
      <c r="F46" s="122" t="str">
        <f>VLOOKUP(D46,Poeng!$B$10:$AA$251,Poeng!AA$1,FALSE)</f>
        <v>Yes/No</v>
      </c>
      <c r="G46" s="43"/>
      <c r="H46" s="123" t="str">
        <f>VLOOKUP(D46,Poeng!$B$10:$AD$251,Poeng!AD$1,FALSE)</f>
        <v>-</v>
      </c>
      <c r="I46" s="124" t="str">
        <f>VLOOKUP(D46,Poeng!$B$10:$BD$251,Poeng!BD$1,FALSE)</f>
        <v>Unclassified</v>
      </c>
      <c r="J46" s="80"/>
      <c r="K46" s="281"/>
      <c r="L46" s="809"/>
      <c r="M46" s="829"/>
      <c r="N46" s="83"/>
      <c r="O46" s="123" t="str">
        <f>VLOOKUP(D46,Poeng!$B$10:$BB$251,Poeng!AE$1,FALSE)</f>
        <v>-</v>
      </c>
      <c r="P46" s="123" t="str">
        <f>VLOOKUP(D46,Poeng!$B$10:$BG$251,Poeng!BG$1,FALSE)</f>
        <v>Unclassified</v>
      </c>
      <c r="Q46" s="755"/>
      <c r="R46" s="756"/>
      <c r="S46" s="749"/>
      <c r="T46" s="319"/>
      <c r="U46" s="83"/>
      <c r="V46" s="123" t="str">
        <f>VLOOKUP(D46,Poeng!$B$10:$BB$251,Poeng!AF$1,FALSE)</f>
        <v>-</v>
      </c>
      <c r="W46" s="123" t="str">
        <f>VLOOKUP(D46,Poeng!$B$10:$BJ$251,Poeng!BJ$1,FALSE)</f>
        <v>Unclassified</v>
      </c>
      <c r="X46" s="81"/>
      <c r="Y46" s="80"/>
      <c r="Z46" s="749"/>
      <c r="AC46" s="107">
        <f t="shared" si="0"/>
        <v>1</v>
      </c>
      <c r="AD46" s="3" t="e">
        <f>VLOOKUP(K46,'Assessment Details'!$O$45:$P$48,2,FALSE)</f>
        <v>#N/A</v>
      </c>
      <c r="AE46" s="3" t="e">
        <f>VLOOKUP(R46,'Assessment Details'!$O$45:$P$48,2,FALSE)</f>
        <v>#N/A</v>
      </c>
      <c r="AF46" s="3" t="e">
        <f>VLOOKUP(Y46,'Assessment Details'!$O$45:$P$48,2,FALSE)</f>
        <v>#N/A</v>
      </c>
    </row>
    <row r="47" spans="1:58" x14ac:dyDescent="0.25">
      <c r="A47" s="1091">
        <v>38</v>
      </c>
      <c r="B47" s="1092" t="s">
        <v>67</v>
      </c>
      <c r="C47" s="1097" t="str">
        <f t="shared" si="6"/>
        <v>Hea 02</v>
      </c>
      <c r="D47" s="19" t="s">
        <v>738</v>
      </c>
      <c r="E47" s="875" t="str">
        <f>VLOOKUP(D47,Poeng!$B$10:$Q$251,Poeng!D$1,FALSE)</f>
        <v>Ventilation</v>
      </c>
      <c r="F47" s="122">
        <f>VLOOKUP(D47,Poeng!$B$10:$AA$251,Poeng!AA$1,FALSE)</f>
        <v>1</v>
      </c>
      <c r="G47" s="43"/>
      <c r="H47" s="123">
        <f>VLOOKUP(D47,Poeng!$B$10:$AD$251,Poeng!AD$1,FALSE)</f>
        <v>0</v>
      </c>
      <c r="I47" s="124" t="str">
        <f>VLOOKUP(D47,Poeng!$B$10:$BD$251,Poeng!BD$1,FALSE)</f>
        <v>N/A</v>
      </c>
      <c r="J47" s="80"/>
      <c r="K47" s="281"/>
      <c r="L47" s="809"/>
      <c r="M47" s="829"/>
      <c r="N47" s="83"/>
      <c r="O47" s="123">
        <f>VLOOKUP(D47,Poeng!$B$10:$BB$251,Poeng!AE$1,FALSE)</f>
        <v>0</v>
      </c>
      <c r="P47" s="123" t="str">
        <f>VLOOKUP(D47,Poeng!$B$10:$BG$251,Poeng!BG$1,FALSE)</f>
        <v>N/A</v>
      </c>
      <c r="Q47" s="755"/>
      <c r="R47" s="756"/>
      <c r="S47" s="749"/>
      <c r="T47" s="319"/>
      <c r="U47" s="83"/>
      <c r="V47" s="123">
        <f>VLOOKUP(D47,Poeng!$B$10:$BB$251,Poeng!AF$1,FALSE)</f>
        <v>0</v>
      </c>
      <c r="W47" s="123" t="str">
        <f>VLOOKUP(D47,Poeng!$B$10:$BJ$251,Poeng!BJ$1,FALSE)</f>
        <v>N/A</v>
      </c>
      <c r="X47" s="81"/>
      <c r="Y47" s="80"/>
      <c r="Z47" s="749"/>
      <c r="AC47" s="107">
        <f t="shared" si="0"/>
        <v>1</v>
      </c>
      <c r="AD47" s="3" t="e">
        <f>VLOOKUP(K47,'Assessment Details'!$O$45:$P$48,2,FALSE)</f>
        <v>#N/A</v>
      </c>
      <c r="AE47" s="3" t="e">
        <f>VLOOKUP(R47,'Assessment Details'!$O$45:$P$48,2,FALSE)</f>
        <v>#N/A</v>
      </c>
      <c r="AF47" s="3" t="e">
        <f>VLOOKUP(Y47,'Assessment Details'!$O$45:$P$48,2,FALSE)</f>
        <v>#N/A</v>
      </c>
    </row>
    <row r="48" spans="1:58" x14ac:dyDescent="0.25">
      <c r="A48" s="1091">
        <v>39</v>
      </c>
      <c r="B48" s="1092" t="s">
        <v>67</v>
      </c>
      <c r="C48" s="1097" t="str">
        <f t="shared" si="6"/>
        <v>Hea 02</v>
      </c>
      <c r="D48" s="19" t="s">
        <v>739</v>
      </c>
      <c r="E48" s="875" t="str">
        <f>VLOOKUP(D48,Poeng!$B$10:$Q$251,Poeng!D$1,FALSE)</f>
        <v xml:space="preserve">Emissions from construction products </v>
      </c>
      <c r="F48" s="122">
        <f>VLOOKUP(D48,Poeng!$B$10:$AA$251,Poeng!AA$1,FALSE)</f>
        <v>2</v>
      </c>
      <c r="G48" s="43"/>
      <c r="H48" s="123">
        <f>VLOOKUP(D48,Poeng!$B$10:$AD$251,Poeng!AD$1,FALSE)</f>
        <v>0</v>
      </c>
      <c r="I48" s="124" t="str">
        <f>VLOOKUP(D48,Poeng!$B$10:$BD$251,Poeng!BD$1,FALSE)</f>
        <v>Very Good</v>
      </c>
      <c r="J48" s="80"/>
      <c r="K48" s="281"/>
      <c r="L48" s="809"/>
      <c r="M48" s="829"/>
      <c r="N48" s="83"/>
      <c r="O48" s="123">
        <f>VLOOKUP(D48,Poeng!$B$10:$BB$251,Poeng!AE$1,FALSE)</f>
        <v>0</v>
      </c>
      <c r="P48" s="123" t="str">
        <f>VLOOKUP(D48,Poeng!$B$10:$BG$251,Poeng!BG$1,FALSE)</f>
        <v>Very Good</v>
      </c>
      <c r="Q48" s="755"/>
      <c r="R48" s="756"/>
      <c r="S48" s="749"/>
      <c r="T48" s="319"/>
      <c r="U48" s="83"/>
      <c r="V48" s="123">
        <f>VLOOKUP(D48,Poeng!$B$10:$BB$251,Poeng!AF$1,FALSE)</f>
        <v>0</v>
      </c>
      <c r="W48" s="123" t="str">
        <f>VLOOKUP(D48,Poeng!$B$10:$BJ$251,Poeng!BJ$1,FALSE)</f>
        <v>Very Good</v>
      </c>
      <c r="X48" s="81"/>
      <c r="Y48" s="80"/>
      <c r="Z48" s="749"/>
      <c r="AC48" s="107">
        <f t="shared" si="0"/>
        <v>1</v>
      </c>
      <c r="AD48" s="3" t="e">
        <f>VLOOKUP(K48,'Assessment Details'!$O$45:$P$48,2,FALSE)</f>
        <v>#N/A</v>
      </c>
      <c r="AE48" s="3" t="e">
        <f>VLOOKUP(R48,'Assessment Details'!$O$45:$P$48,2,FALSE)</f>
        <v>#N/A</v>
      </c>
      <c r="AF48" s="3" t="e">
        <f>VLOOKUP(Y48,'Assessment Details'!$O$45:$P$48,2,FALSE)</f>
        <v>#N/A</v>
      </c>
    </row>
    <row r="49" spans="1:52" x14ac:dyDescent="0.25">
      <c r="A49" s="1091">
        <v>40</v>
      </c>
      <c r="B49" s="1092" t="s">
        <v>67</v>
      </c>
      <c r="C49" s="1097" t="str">
        <f t="shared" si="6"/>
        <v>Hea 02</v>
      </c>
      <c r="D49" s="19" t="s">
        <v>740</v>
      </c>
      <c r="E49" s="875" t="str">
        <f>VLOOKUP(D49,Poeng!$B$10:$Q$251,Poeng!D$1,FALSE)</f>
        <v xml:space="preserve">Post-construction indoor air quality measurement </v>
      </c>
      <c r="F49" s="122">
        <f>VLOOKUP(D49,Poeng!$B$10:$AA$251,Poeng!AA$1,FALSE)</f>
        <v>1</v>
      </c>
      <c r="G49" s="43"/>
      <c r="H49" s="123">
        <f>VLOOKUP(D49,Poeng!$B$10:$AD$251,Poeng!AD$1,FALSE)</f>
        <v>0</v>
      </c>
      <c r="I49" s="124" t="str">
        <f>VLOOKUP(D49,Poeng!$B$10:$BD$251,Poeng!BD$1,FALSE)</f>
        <v>N/A</v>
      </c>
      <c r="J49" s="80"/>
      <c r="K49" s="281"/>
      <c r="L49" s="809"/>
      <c r="M49" s="829"/>
      <c r="N49" s="83"/>
      <c r="O49" s="123">
        <f>VLOOKUP(D49,Poeng!$B$10:$BB$251,Poeng!AE$1,FALSE)</f>
        <v>0</v>
      </c>
      <c r="P49" s="123" t="str">
        <f>VLOOKUP(D49,Poeng!$B$10:$BG$251,Poeng!BG$1,FALSE)</f>
        <v>N/A</v>
      </c>
      <c r="Q49" s="755"/>
      <c r="R49" s="756"/>
      <c r="S49" s="749"/>
      <c r="T49" s="319"/>
      <c r="U49" s="83"/>
      <c r="V49" s="123">
        <f>VLOOKUP(D49,Poeng!$B$10:$BB$251,Poeng!AF$1,FALSE)</f>
        <v>0</v>
      </c>
      <c r="W49" s="123" t="str">
        <f>VLOOKUP(D49,Poeng!$B$10:$BJ$251,Poeng!BJ$1,FALSE)</f>
        <v>N/A</v>
      </c>
      <c r="X49" s="81"/>
      <c r="Y49" s="80"/>
      <c r="Z49" s="749"/>
      <c r="AC49" s="107">
        <f t="shared" si="0"/>
        <v>1</v>
      </c>
      <c r="AD49" s="3" t="e">
        <f>VLOOKUP(K49,'Assessment Details'!$O$45:$P$48,2,FALSE)</f>
        <v>#N/A</v>
      </c>
      <c r="AE49" s="3" t="e">
        <f>VLOOKUP(R49,'Assessment Details'!$O$45:$P$48,2,FALSE)</f>
        <v>#N/A</v>
      </c>
      <c r="AF49" s="3" t="e">
        <f>VLOOKUP(Y49,'Assessment Details'!$O$45:$P$48,2,FALSE)</f>
        <v>#N/A</v>
      </c>
    </row>
    <row r="50" spans="1:52" x14ac:dyDescent="0.25">
      <c r="A50" s="1091">
        <v>41</v>
      </c>
      <c r="B50" s="1092" t="s">
        <v>67</v>
      </c>
      <c r="C50" s="938" t="s">
        <v>121</v>
      </c>
      <c r="D50" s="837" t="s">
        <v>121</v>
      </c>
      <c r="E50" s="874" t="str">
        <f>VLOOKUP(D50,Poeng!$B$10:$Q$251,Poeng!D$1,FALSE)</f>
        <v>Hea 03 Thermal comfort</v>
      </c>
      <c r="F50" s="879">
        <f>VLOOKUP(D50,Poeng!$B$10:$AA$251,Poeng!AA$1,FALSE)</f>
        <v>3</v>
      </c>
      <c r="G50" s="1015"/>
      <c r="H50" s="880" t="str">
        <f>VLOOKUP(D50,Poeng!$B$10:$AH$251,Poeng!AH$1,FALSE)&amp;" c. "&amp;ROUND(VLOOKUP(D50,Poeng!$B$10:$AD$251,Poeng!AD$1,FALSE)*100,1)&amp;" %"</f>
        <v>0 c. 0 %</v>
      </c>
      <c r="I50" s="938" t="str">
        <f>VLOOKUP(D50,Poeng!$B$10:$BD$251,Poeng!BD$1,FALSE)</f>
        <v>N/A</v>
      </c>
      <c r="J50" s="80"/>
      <c r="K50" s="281"/>
      <c r="L50" s="809"/>
      <c r="M50" s="829"/>
      <c r="N50" s="1015"/>
      <c r="O50" s="891" t="str">
        <f>VLOOKUP(D50,Poeng!$B$10:$BB$251,Poeng!AI$1,FALSE)&amp;" c. "&amp;ROUND(VLOOKUP(D50,Poeng!$B$10:$BB$251,Poeng!AE$1,FALSE)*100,1)&amp;" %"</f>
        <v>0 c. 0 %</v>
      </c>
      <c r="P50" s="123" t="str">
        <f>VLOOKUP(D50,Poeng!$B$10:$BG$251,Poeng!BG$1,FALSE)</f>
        <v>N/A</v>
      </c>
      <c r="Q50" s="755"/>
      <c r="R50" s="756"/>
      <c r="S50" s="749"/>
      <c r="T50" s="319"/>
      <c r="U50" s="1015"/>
      <c r="V50" s="891" t="str">
        <f>VLOOKUP(D50,Poeng!$B$10:$BB$251,Poeng!AJ$1,FALSE)&amp;" c. "&amp;ROUND(VLOOKUP(D50,Poeng!$B$10:$BB$251,Poeng!AF$1,FALSE)*100,1)&amp;" %"</f>
        <v>0 c. 0 %</v>
      </c>
      <c r="W50" s="123" t="str">
        <f>VLOOKUP(D50,Poeng!$B$10:$BJ$251,Poeng!BJ$1,FALSE)</f>
        <v>N/A</v>
      </c>
      <c r="X50" s="81"/>
      <c r="Y50" s="80"/>
      <c r="Z50" s="749"/>
      <c r="AA50" s="133"/>
      <c r="AB50" s="648" t="s">
        <v>14</v>
      </c>
      <c r="AC50" s="107">
        <f t="shared" si="0"/>
        <v>1</v>
      </c>
      <c r="AD50" s="3" t="e">
        <f>VLOOKUP(K50,'Assessment Details'!$O$45:$P$48,2,FALSE)</f>
        <v>#N/A</v>
      </c>
      <c r="AE50" s="3" t="e">
        <f>VLOOKUP(R50,'Assessment Details'!$O$45:$P$48,2,FALSE)</f>
        <v>#N/A</v>
      </c>
      <c r="AF50" s="3" t="e">
        <f>VLOOKUP(Y50,'Assessment Details'!$O$45:$P$48,2,FALSE)</f>
        <v>#N/A</v>
      </c>
      <c r="AI50" s="70" t="str">
        <f>ais_yes</f>
        <v>Ja</v>
      </c>
      <c r="AJ50" s="679" t="s">
        <v>115</v>
      </c>
      <c r="AK50" s="656" t="s">
        <v>408</v>
      </c>
      <c r="AL50" s="656" t="s">
        <v>412</v>
      </c>
      <c r="AM50" s="656" t="s">
        <v>410</v>
      </c>
      <c r="AN50" s="70"/>
      <c r="AO50" s="70"/>
      <c r="AP50" s="70"/>
      <c r="AR50" s="1" t="s">
        <v>14</v>
      </c>
      <c r="AS50" s="23" t="str">
        <f t="shared" si="3"/>
        <v>N/A</v>
      </c>
      <c r="AT50" s="23" t="str">
        <f t="shared" si="1"/>
        <v>N/A</v>
      </c>
      <c r="AU50" s="23" t="str">
        <f t="shared" si="2"/>
        <v>N/A</v>
      </c>
      <c r="AV50" s="23"/>
      <c r="AW50" s="23"/>
      <c r="AX50" s="23"/>
      <c r="AZ50" s="648"/>
    </row>
    <row r="51" spans="1:52" x14ac:dyDescent="0.25">
      <c r="A51" s="1091">
        <v>42</v>
      </c>
      <c r="B51" s="1092" t="s">
        <v>67</v>
      </c>
      <c r="C51" s="1097" t="str">
        <f t="shared" si="6"/>
        <v>Hea 03</v>
      </c>
      <c r="D51" s="837" t="s">
        <v>741</v>
      </c>
      <c r="E51" s="875" t="str">
        <f>VLOOKUP(D51,Poeng!$B$10:$Q$251,Poeng!D$1,FALSE)</f>
        <v xml:space="preserve">Thermal modelling </v>
      </c>
      <c r="F51" s="122">
        <f>VLOOKUP(D51,Poeng!$B$10:$AA$251,Poeng!AA$1,FALSE)</f>
        <v>1</v>
      </c>
      <c r="G51" s="43"/>
      <c r="H51" s="123">
        <f>VLOOKUP(D51,Poeng!$B$10:$AD$251,Poeng!AD$1,FALSE)</f>
        <v>0</v>
      </c>
      <c r="I51" s="124" t="str">
        <f>VLOOKUP(D51,Poeng!$B$10:$BD$251,Poeng!BD$1,FALSE)</f>
        <v>N/A</v>
      </c>
      <c r="J51" s="80"/>
      <c r="K51" s="281"/>
      <c r="L51" s="809"/>
      <c r="M51" s="829"/>
      <c r="N51" s="83"/>
      <c r="O51" s="123">
        <f>VLOOKUP(D51,Poeng!$B$10:$BB$251,Poeng!AE$1,FALSE)</f>
        <v>0</v>
      </c>
      <c r="P51" s="123" t="str">
        <f>VLOOKUP(D51,Poeng!$B$10:$BG$251,Poeng!BG$1,FALSE)</f>
        <v>N/A</v>
      </c>
      <c r="Q51" s="755"/>
      <c r="R51" s="756"/>
      <c r="S51" s="749"/>
      <c r="T51" s="319"/>
      <c r="U51" s="83"/>
      <c r="V51" s="123">
        <f>VLOOKUP(D51,Poeng!$B$10:$BB$251,Poeng!AF$1,FALSE)</f>
        <v>0</v>
      </c>
      <c r="W51" s="123" t="str">
        <f>VLOOKUP(D51,Poeng!$B$10:$BJ$251,Poeng!BJ$1,FALSE)</f>
        <v>N/A</v>
      </c>
      <c r="X51" s="81"/>
      <c r="Y51" s="80"/>
      <c r="Z51" s="1110"/>
      <c r="AA51" s="133"/>
      <c r="AB51" s="648"/>
      <c r="AC51" s="107">
        <f t="shared" si="0"/>
        <v>1</v>
      </c>
      <c r="AD51" s="3" t="e">
        <f>VLOOKUP(K51,'Assessment Details'!$O$45:$P$48,2,FALSE)</f>
        <v>#N/A</v>
      </c>
      <c r="AE51" s="3" t="e">
        <f>VLOOKUP(R51,'Assessment Details'!$O$45:$P$48,2,FALSE)</f>
        <v>#N/A</v>
      </c>
      <c r="AF51" s="3" t="e">
        <f>VLOOKUP(Y51,'Assessment Details'!$O$45:$P$48,2,FALSE)</f>
        <v>#N/A</v>
      </c>
      <c r="AI51" s="70"/>
      <c r="AJ51" s="679"/>
      <c r="AK51" s="656"/>
      <c r="AL51" s="656"/>
      <c r="AM51" s="656"/>
      <c r="AN51" s="70"/>
      <c r="AO51" s="70"/>
      <c r="AP51" s="70"/>
      <c r="AS51" s="23"/>
      <c r="AT51" s="23"/>
      <c r="AU51" s="23"/>
      <c r="AV51" s="23"/>
      <c r="AW51" s="23"/>
      <c r="AX51" s="23"/>
      <c r="AZ51" s="648"/>
    </row>
    <row r="52" spans="1:52" x14ac:dyDescent="0.25">
      <c r="A52" s="1091">
        <v>43</v>
      </c>
      <c r="B52" s="1092" t="s">
        <v>67</v>
      </c>
      <c r="C52" s="1097" t="str">
        <f t="shared" si="6"/>
        <v>Hea 03</v>
      </c>
      <c r="D52" s="837" t="s">
        <v>742</v>
      </c>
      <c r="E52" s="875" t="str">
        <f>VLOOKUP(D52,Poeng!$B$10:$Q$251,Poeng!D$1,FALSE)</f>
        <v xml:space="preserve">Design for future thermal comfort </v>
      </c>
      <c r="F52" s="122">
        <f>VLOOKUP(D52,Poeng!$B$10:$AA$251,Poeng!AA$1,FALSE)</f>
        <v>1</v>
      </c>
      <c r="G52" s="43"/>
      <c r="H52" s="123">
        <f>VLOOKUP(D52,Poeng!$B$10:$AD$251,Poeng!AD$1,FALSE)</f>
        <v>0</v>
      </c>
      <c r="I52" s="124" t="str">
        <f>VLOOKUP(D52,Poeng!$B$10:$BD$251,Poeng!BD$1,FALSE)</f>
        <v>N/A</v>
      </c>
      <c r="J52" s="80"/>
      <c r="K52" s="281"/>
      <c r="L52" s="809"/>
      <c r="M52" s="829"/>
      <c r="N52" s="83"/>
      <c r="O52" s="123">
        <f>VLOOKUP(D52,Poeng!$B$10:$BB$251,Poeng!AE$1,FALSE)</f>
        <v>0</v>
      </c>
      <c r="P52" s="123" t="str">
        <f>VLOOKUP(D52,Poeng!$B$10:$BG$251,Poeng!BG$1,FALSE)</f>
        <v>N/A</v>
      </c>
      <c r="Q52" s="755"/>
      <c r="R52" s="756"/>
      <c r="S52" s="749"/>
      <c r="T52" s="319"/>
      <c r="U52" s="83"/>
      <c r="V52" s="123">
        <f>VLOOKUP(D52,Poeng!$B$10:$BB$251,Poeng!AF$1,FALSE)</f>
        <v>0</v>
      </c>
      <c r="W52" s="123" t="str">
        <f>VLOOKUP(D52,Poeng!$B$10:$BJ$251,Poeng!BJ$1,FALSE)</f>
        <v>N/A</v>
      </c>
      <c r="X52" s="81"/>
      <c r="Y52" s="80"/>
      <c r="Z52" s="1110"/>
      <c r="AA52" s="133"/>
      <c r="AB52" s="648"/>
      <c r="AC52" s="107">
        <f t="shared" si="0"/>
        <v>1</v>
      </c>
      <c r="AD52" s="3" t="e">
        <f>VLOOKUP(K52,'Assessment Details'!$O$45:$P$48,2,FALSE)</f>
        <v>#N/A</v>
      </c>
      <c r="AE52" s="3" t="e">
        <f>VLOOKUP(R52,'Assessment Details'!$O$45:$P$48,2,FALSE)</f>
        <v>#N/A</v>
      </c>
      <c r="AF52" s="3" t="e">
        <f>VLOOKUP(Y52,'Assessment Details'!$O$45:$P$48,2,FALSE)</f>
        <v>#N/A</v>
      </c>
      <c r="AI52" s="70"/>
      <c r="AJ52" s="679"/>
      <c r="AK52" s="656"/>
      <c r="AL52" s="656"/>
      <c r="AM52" s="656"/>
      <c r="AN52" s="70"/>
      <c r="AO52" s="70"/>
      <c r="AP52" s="70"/>
      <c r="AS52" s="23"/>
      <c r="AT52" s="23"/>
      <c r="AU52" s="23"/>
      <c r="AV52" s="23"/>
      <c r="AW52" s="23"/>
      <c r="AX52" s="23"/>
      <c r="AZ52" s="648"/>
    </row>
    <row r="53" spans="1:52" x14ac:dyDescent="0.25">
      <c r="A53" s="1091">
        <v>44</v>
      </c>
      <c r="B53" s="1092" t="s">
        <v>67</v>
      </c>
      <c r="C53" s="1097" t="str">
        <f t="shared" si="6"/>
        <v>Hea 03</v>
      </c>
      <c r="D53" s="837" t="s">
        <v>743</v>
      </c>
      <c r="E53" s="875" t="str">
        <f>VLOOKUP(D53,Poeng!$B$10:$Q$251,Poeng!D$1,FALSE)</f>
        <v xml:space="preserve">Thermal zoning and controls </v>
      </c>
      <c r="F53" s="122">
        <f>VLOOKUP(D53,Poeng!$B$10:$AA$251,Poeng!AA$1,FALSE)</f>
        <v>1</v>
      </c>
      <c r="G53" s="43"/>
      <c r="H53" s="123">
        <f>VLOOKUP(D53,Poeng!$B$10:$AD$251,Poeng!AD$1,FALSE)</f>
        <v>0</v>
      </c>
      <c r="I53" s="124" t="str">
        <f>VLOOKUP(D53,Poeng!$B$10:$BD$251,Poeng!BD$1,FALSE)</f>
        <v>N/A</v>
      </c>
      <c r="J53" s="80"/>
      <c r="K53" s="281"/>
      <c r="L53" s="809"/>
      <c r="M53" s="829"/>
      <c r="N53" s="83"/>
      <c r="O53" s="123">
        <f>VLOOKUP(D53,Poeng!$B$10:$BB$251,Poeng!AE$1,FALSE)</f>
        <v>0</v>
      </c>
      <c r="P53" s="123" t="str">
        <f>VLOOKUP(D53,Poeng!$B$10:$BG$251,Poeng!BG$1,FALSE)</f>
        <v>N/A</v>
      </c>
      <c r="Q53" s="755"/>
      <c r="R53" s="756"/>
      <c r="S53" s="749"/>
      <c r="T53" s="319"/>
      <c r="U53" s="83"/>
      <c r="V53" s="123">
        <f>VLOOKUP(D53,Poeng!$B$10:$BB$251,Poeng!AF$1,FALSE)</f>
        <v>0</v>
      </c>
      <c r="W53" s="123" t="str">
        <f>VLOOKUP(D53,Poeng!$B$10:$BJ$251,Poeng!BJ$1,FALSE)</f>
        <v>N/A</v>
      </c>
      <c r="X53" s="81"/>
      <c r="Y53" s="80"/>
      <c r="Z53" s="1110"/>
      <c r="AA53" s="133"/>
      <c r="AB53" s="648"/>
      <c r="AC53" s="107">
        <f t="shared" si="0"/>
        <v>1</v>
      </c>
      <c r="AD53" s="3" t="e">
        <f>VLOOKUP(K53,'Assessment Details'!$O$45:$P$48,2,FALSE)</f>
        <v>#N/A</v>
      </c>
      <c r="AE53" s="3" t="e">
        <f>VLOOKUP(R53,'Assessment Details'!$O$45:$P$48,2,FALSE)</f>
        <v>#N/A</v>
      </c>
      <c r="AF53" s="3" t="e">
        <f>VLOOKUP(Y53,'Assessment Details'!$O$45:$P$48,2,FALSE)</f>
        <v>#N/A</v>
      </c>
      <c r="AI53" s="70"/>
      <c r="AJ53" s="679"/>
      <c r="AK53" s="656"/>
      <c r="AL53" s="656"/>
      <c r="AM53" s="656"/>
      <c r="AN53" s="70"/>
      <c r="AO53" s="70"/>
      <c r="AP53" s="70"/>
      <c r="AS53" s="23"/>
      <c r="AT53" s="23"/>
      <c r="AU53" s="23"/>
      <c r="AV53" s="23"/>
      <c r="AW53" s="23"/>
      <c r="AX53" s="23"/>
      <c r="AZ53" s="648"/>
    </row>
    <row r="54" spans="1:52" x14ac:dyDescent="0.25">
      <c r="A54" s="1091">
        <v>45</v>
      </c>
      <c r="B54" s="1092" t="s">
        <v>67</v>
      </c>
      <c r="C54" s="938" t="s">
        <v>123</v>
      </c>
      <c r="D54" s="837" t="s">
        <v>123</v>
      </c>
      <c r="E54" s="874" t="str">
        <f>VLOOKUP(D54,Poeng!$B$10:$Q$251,Poeng!D$1,FALSE)</f>
        <v>Hea 05 Acoustic performance</v>
      </c>
      <c r="F54" s="879">
        <f>VLOOKUP(D54,Poeng!$B$10:$AA$251,Poeng!AA$1,FALSE)</f>
        <v>3</v>
      </c>
      <c r="G54" s="1015"/>
      <c r="H54" s="880" t="str">
        <f>VLOOKUP(D54,Poeng!$B$10:$AH$251,Poeng!AH$1,FALSE)&amp;" c. "&amp;ROUND(VLOOKUP(D54,Poeng!$B$10:$AD$251,Poeng!AD$1,FALSE)*100,1)&amp;" %"</f>
        <v>0 c. 0 %</v>
      </c>
      <c r="I54" s="938" t="str">
        <f>VLOOKUP(D54,Poeng!$B$10:$BD$251,Poeng!BD$1,FALSE)</f>
        <v>N/A</v>
      </c>
      <c r="J54" s="80"/>
      <c r="K54" s="281"/>
      <c r="L54" s="809"/>
      <c r="M54" s="829"/>
      <c r="N54" s="1015"/>
      <c r="O54" s="891" t="str">
        <f>VLOOKUP(D54,Poeng!$B$10:$BB$251,Poeng!AI$1,FALSE)&amp;" c. "&amp;ROUND(VLOOKUP(D54,Poeng!$B$10:$BB$251,Poeng!AE$1,FALSE)*100,1)&amp;" %"</f>
        <v>0 c. 0 %</v>
      </c>
      <c r="P54" s="123" t="str">
        <f>VLOOKUP(D54,Poeng!$B$10:$BG$251,Poeng!BG$1,FALSE)</f>
        <v>N/A</v>
      </c>
      <c r="Q54" s="755"/>
      <c r="R54" s="756"/>
      <c r="S54" s="749"/>
      <c r="T54" s="319"/>
      <c r="U54" s="1015"/>
      <c r="V54" s="891" t="str">
        <f>VLOOKUP(D54,Poeng!$B$10:$BB$251,Poeng!AJ$1,FALSE)&amp;" c. "&amp;ROUND(VLOOKUP(D54,Poeng!$B$10:$BB$251,Poeng!AF$1,FALSE)*100,1)&amp;" %"</f>
        <v>0 c. 0 %</v>
      </c>
      <c r="W54" s="123" t="str">
        <f>VLOOKUP(D54,Poeng!$B$10:$BJ$251,Poeng!BJ$1,FALSE)</f>
        <v>N/A</v>
      </c>
      <c r="X54" s="81"/>
      <c r="Y54" s="80"/>
      <c r="Z54" s="749"/>
      <c r="AA54" s="133"/>
      <c r="AB54" s="648" t="s">
        <v>14</v>
      </c>
      <c r="AC54" s="107">
        <f t="shared" si="0"/>
        <v>1</v>
      </c>
      <c r="AD54" s="3" t="e">
        <f>VLOOKUP(K54,'Assessment Details'!$O$45:$P$48,2,FALSE)</f>
        <v>#N/A</v>
      </c>
      <c r="AE54" s="3" t="e">
        <f>VLOOKUP(R54,'Assessment Details'!$O$45:$P$48,2,FALSE)</f>
        <v>#N/A</v>
      </c>
      <c r="AF54" s="3" t="e">
        <f>VLOOKUP(Y54,'Assessment Details'!$O$45:$P$48,2,FALSE)</f>
        <v>#N/A</v>
      </c>
      <c r="AI54" s="70"/>
      <c r="AJ54" s="679" t="s">
        <v>129</v>
      </c>
      <c r="AK54" s="656" t="s">
        <v>14</v>
      </c>
      <c r="AL54" s="660" t="s">
        <v>13</v>
      </c>
      <c r="AM54" s="70"/>
      <c r="AN54" s="70"/>
      <c r="AO54" s="70"/>
      <c r="AP54" s="70"/>
      <c r="AS54" s="23" t="str">
        <f t="shared" si="3"/>
        <v>N/A</v>
      </c>
      <c r="AT54" s="23" t="str">
        <f t="shared" si="1"/>
        <v>N/A</v>
      </c>
      <c r="AU54" s="23" t="str">
        <f t="shared" si="2"/>
        <v>N/A</v>
      </c>
      <c r="AV54" s="23"/>
      <c r="AW54" s="23"/>
      <c r="AX54" s="23"/>
      <c r="AZ54" s="648"/>
    </row>
    <row r="55" spans="1:52" x14ac:dyDescent="0.25">
      <c r="A55" s="1091">
        <v>46</v>
      </c>
      <c r="B55" s="1092" t="s">
        <v>67</v>
      </c>
      <c r="C55" s="1097" t="str">
        <f t="shared" si="6"/>
        <v>Hea 05</v>
      </c>
      <c r="D55" s="837" t="s">
        <v>744</v>
      </c>
      <c r="E55" s="875" t="str">
        <f>VLOOKUP(D55,Poeng!$B$10:$Q$251,Poeng!D$1,FALSE)</f>
        <v xml:space="preserve">Pre-requisite: suitably qualified acoustician </v>
      </c>
      <c r="F55" s="122" t="str">
        <f>VLOOKUP(D55,Poeng!$B$10:$AA$251,Poeng!AA$1,FALSE)</f>
        <v>Yes/No</v>
      </c>
      <c r="G55" s="43"/>
      <c r="H55" s="123" t="str">
        <f>VLOOKUP(D55,Poeng!$B$10:$AD$251,Poeng!AD$1,FALSE)</f>
        <v>-</v>
      </c>
      <c r="I55" s="124" t="str">
        <f>VLOOKUP(D55,Poeng!$B$10:$BD$251,Poeng!BD$1,FALSE)</f>
        <v>N/A</v>
      </c>
      <c r="J55" s="80"/>
      <c r="K55" s="281"/>
      <c r="L55" s="809"/>
      <c r="M55" s="829"/>
      <c r="N55" s="83"/>
      <c r="O55" s="123" t="str">
        <f>VLOOKUP(D55,Poeng!$B$10:$BB$251,Poeng!AE$1,FALSE)</f>
        <v>-</v>
      </c>
      <c r="P55" s="123" t="str">
        <f>VLOOKUP(D55,Poeng!$B$10:$BG$251,Poeng!BG$1,FALSE)</f>
        <v>N/A</v>
      </c>
      <c r="Q55" s="755"/>
      <c r="R55" s="756"/>
      <c r="S55" s="749"/>
      <c r="T55" s="319"/>
      <c r="U55" s="83"/>
      <c r="V55" s="123" t="str">
        <f>VLOOKUP(D55,Poeng!$B$10:$BB$251,Poeng!AF$1,FALSE)</f>
        <v>-</v>
      </c>
      <c r="W55" s="123" t="str">
        <f>VLOOKUP(D55,Poeng!$B$10:$BJ$251,Poeng!BJ$1,FALSE)</f>
        <v>N/A</v>
      </c>
      <c r="X55" s="81"/>
      <c r="Y55" s="80"/>
      <c r="Z55" s="749"/>
      <c r="AA55" s="133"/>
      <c r="AB55" s="648"/>
      <c r="AC55" s="107">
        <f t="shared" si="0"/>
        <v>1</v>
      </c>
      <c r="AD55" s="3" t="e">
        <f>VLOOKUP(K55,'Assessment Details'!$O$45:$P$48,2,FALSE)</f>
        <v>#N/A</v>
      </c>
      <c r="AE55" s="3" t="e">
        <f>VLOOKUP(R55,'Assessment Details'!$O$45:$P$48,2,FALSE)</f>
        <v>#N/A</v>
      </c>
      <c r="AF55" s="3" t="e">
        <f>VLOOKUP(Y55,'Assessment Details'!$O$45:$P$48,2,FALSE)</f>
        <v>#N/A</v>
      </c>
      <c r="AI55" s="70"/>
      <c r="AJ55" s="679"/>
      <c r="AK55" s="656"/>
      <c r="AL55" s="660"/>
      <c r="AM55" s="70"/>
      <c r="AN55" s="70"/>
      <c r="AO55" s="70"/>
      <c r="AP55" s="70"/>
      <c r="AS55" s="23"/>
      <c r="AT55" s="23"/>
      <c r="AU55" s="23"/>
      <c r="AV55" s="23"/>
      <c r="AW55" s="23"/>
      <c r="AX55" s="23"/>
      <c r="AZ55" s="648"/>
    </row>
    <row r="56" spans="1:52" x14ac:dyDescent="0.25">
      <c r="A56" s="1091">
        <v>47</v>
      </c>
      <c r="B56" s="1092" t="s">
        <v>67</v>
      </c>
      <c r="C56" s="1097" t="str">
        <f t="shared" si="6"/>
        <v>Hea 05</v>
      </c>
      <c r="D56" s="837" t="s">
        <v>745</v>
      </c>
      <c r="E56" s="875" t="str">
        <f>VLOOKUP(D56,Poeng!$B$10:$Q$251,Poeng!D$1,FALSE)</f>
        <v xml:space="preserve">Sound class requirements </v>
      </c>
      <c r="F56" s="122">
        <f>VLOOKUP(D56,Poeng!$B$10:$AA$251,Poeng!AA$1,FALSE)</f>
        <v>3</v>
      </c>
      <c r="G56" s="43"/>
      <c r="H56" s="123">
        <f>VLOOKUP(D56,Poeng!$B$10:$AD$251,Poeng!AD$1,FALSE)</f>
        <v>0</v>
      </c>
      <c r="I56" s="124" t="str">
        <f>VLOOKUP(D56,Poeng!$B$10:$BD$251,Poeng!BD$1,FALSE)</f>
        <v>N/A</v>
      </c>
      <c r="J56" s="80"/>
      <c r="K56" s="281"/>
      <c r="L56" s="809"/>
      <c r="M56" s="829"/>
      <c r="N56" s="83"/>
      <c r="O56" s="123">
        <f>VLOOKUP(D56,Poeng!$B$10:$BB$251,Poeng!AE$1,FALSE)</f>
        <v>0</v>
      </c>
      <c r="P56" s="123" t="str">
        <f>VLOOKUP(D56,Poeng!$B$10:$BG$251,Poeng!BG$1,FALSE)</f>
        <v>N/A</v>
      </c>
      <c r="Q56" s="755"/>
      <c r="R56" s="756"/>
      <c r="S56" s="1110"/>
      <c r="T56" s="319"/>
      <c r="U56" s="83"/>
      <c r="V56" s="123">
        <f>VLOOKUP(D56,Poeng!$B$10:$BB$251,Poeng!AF$1,FALSE)</f>
        <v>0</v>
      </c>
      <c r="W56" s="123" t="str">
        <f>VLOOKUP(D56,Poeng!$B$10:$BJ$251,Poeng!BJ$1,FALSE)</f>
        <v>N/A</v>
      </c>
      <c r="X56" s="81"/>
      <c r="Y56" s="80"/>
      <c r="Z56" s="1110"/>
      <c r="AA56" s="133"/>
      <c r="AB56" s="648"/>
      <c r="AC56" s="107">
        <f t="shared" si="0"/>
        <v>1</v>
      </c>
      <c r="AD56" s="3" t="e">
        <f>VLOOKUP(K56,'Assessment Details'!$O$45:$P$48,2,FALSE)</f>
        <v>#N/A</v>
      </c>
      <c r="AE56" s="3" t="e">
        <f>VLOOKUP(R56,'Assessment Details'!$O$45:$P$48,2,FALSE)</f>
        <v>#N/A</v>
      </c>
      <c r="AF56" s="3" t="e">
        <f>VLOOKUP(Y56,'Assessment Details'!$O$45:$P$48,2,FALSE)</f>
        <v>#N/A</v>
      </c>
      <c r="AI56" s="70"/>
      <c r="AJ56" s="679"/>
      <c r="AK56" s="656"/>
      <c r="AL56" s="660"/>
      <c r="AM56" s="70"/>
      <c r="AN56" s="70"/>
      <c r="AO56" s="70"/>
      <c r="AP56" s="70"/>
      <c r="AS56" s="23"/>
      <c r="AT56" s="23"/>
      <c r="AU56" s="23"/>
      <c r="AV56" s="23"/>
      <c r="AW56" s="23"/>
      <c r="AX56" s="23"/>
      <c r="AZ56" s="648"/>
    </row>
    <row r="57" spans="1:52" x14ac:dyDescent="0.25">
      <c r="A57" s="1091">
        <v>48</v>
      </c>
      <c r="B57" s="1092" t="s">
        <v>67</v>
      </c>
      <c r="C57" s="938" t="s">
        <v>124</v>
      </c>
      <c r="D57" s="837" t="s">
        <v>124</v>
      </c>
      <c r="E57" s="874" t="str">
        <f>VLOOKUP(D57,Poeng!$B$10:$Q$251,Poeng!D$1,FALSE)</f>
        <v>Hea 06 Safe access</v>
      </c>
      <c r="F57" s="879">
        <f>VLOOKUP(D57,Poeng!$B$10:$AA$251,Poeng!AA$1,FALSE)</f>
        <v>2</v>
      </c>
      <c r="G57" s="1015"/>
      <c r="H57" s="880" t="str">
        <f>VLOOKUP(D57,Poeng!$B$10:$AH$251,Poeng!AH$1,FALSE)&amp;" c. "&amp;ROUND(VLOOKUP(D57,Poeng!$B$10:$AD$251,Poeng!AD$1,FALSE)*100,1)&amp;" %"</f>
        <v>0 c. 0 %</v>
      </c>
      <c r="I57" s="938" t="str">
        <f>VLOOKUP(D57,Poeng!$B$10:$BD$251,Poeng!BD$1,FALSE)</f>
        <v>N/A</v>
      </c>
      <c r="J57" s="80"/>
      <c r="K57" s="281"/>
      <c r="L57" s="809"/>
      <c r="M57" s="829"/>
      <c r="N57" s="1015"/>
      <c r="O57" s="891" t="str">
        <f>VLOOKUP(D57,Poeng!$B$10:$BB$251,Poeng!AI$1,FALSE)&amp;" c. "&amp;ROUND(VLOOKUP(D57,Poeng!$B$10:$BB$251,Poeng!AE$1,FALSE)*100,1)&amp;" %"</f>
        <v>0 c. 0 %</v>
      </c>
      <c r="P57" s="123" t="str">
        <f>VLOOKUP(D57,Poeng!$B$10:$BG$251,Poeng!BG$1,FALSE)</f>
        <v>N/A</v>
      </c>
      <c r="Q57" s="755"/>
      <c r="R57" s="756"/>
      <c r="S57" s="749"/>
      <c r="T57" s="319"/>
      <c r="U57" s="1015"/>
      <c r="V57" s="891" t="str">
        <f>VLOOKUP(D57,Poeng!$B$10:$BB$251,Poeng!AJ$1,FALSE)&amp;" c. "&amp;ROUND(VLOOKUP(D57,Poeng!$B$10:$BB$251,Poeng!AF$1,FALSE)*100,1)&amp;" %"</f>
        <v>0 c. 0 %</v>
      </c>
      <c r="W57" s="123" t="str">
        <f>VLOOKUP(D57,Poeng!$B$10:$BJ$251,Poeng!BJ$1,FALSE)</f>
        <v>N/A</v>
      </c>
      <c r="X57" s="81"/>
      <c r="Y57" s="80"/>
      <c r="Z57" s="749"/>
      <c r="AA57" s="133"/>
      <c r="AB57" s="648" t="s">
        <v>15</v>
      </c>
      <c r="AC57" s="107">
        <f t="shared" si="0"/>
        <v>1</v>
      </c>
      <c r="AD57" s="3" t="e">
        <f>VLOOKUP(K57,'Assessment Details'!$O$45:$P$48,2,FALSE)</f>
        <v>#N/A</v>
      </c>
      <c r="AE57" s="3" t="e">
        <f>VLOOKUP(R57,'Assessment Details'!$O$45:$P$48,2,FALSE)</f>
        <v>#N/A</v>
      </c>
      <c r="AF57" s="3" t="e">
        <f>VLOOKUP(Y57,'Assessment Details'!$O$45:$P$48,2,FALSE)</f>
        <v>#N/A</v>
      </c>
      <c r="AI57" s="70"/>
      <c r="AJ57" s="679" t="s">
        <v>116</v>
      </c>
      <c r="AK57" s="70"/>
      <c r="AL57" s="70"/>
      <c r="AM57" s="70"/>
      <c r="AN57" s="70"/>
      <c r="AO57" s="70"/>
      <c r="AP57" s="70"/>
      <c r="AS57" s="23" t="str">
        <f t="shared" si="3"/>
        <v>N/A</v>
      </c>
      <c r="AT57" s="23" t="str">
        <f t="shared" si="1"/>
        <v>N/A</v>
      </c>
      <c r="AU57" s="23" t="str">
        <f t="shared" si="2"/>
        <v>N/A</v>
      </c>
      <c r="AV57" s="23"/>
      <c r="AW57" s="23"/>
      <c r="AX57" s="23"/>
      <c r="AZ57" s="648"/>
    </row>
    <row r="58" spans="1:52" x14ac:dyDescent="0.25">
      <c r="A58" s="1091">
        <v>49</v>
      </c>
      <c r="B58" s="1092" t="s">
        <v>67</v>
      </c>
      <c r="C58" s="1097" t="str">
        <f t="shared" si="6"/>
        <v>Hea 06</v>
      </c>
      <c r="D58" s="837" t="s">
        <v>746</v>
      </c>
      <c r="E58" s="875" t="str">
        <f>VLOOKUP(D58,Poeng!$B$10:$Q$251,Poeng!D$1,FALSE)</f>
        <v xml:space="preserve">Inclusive design </v>
      </c>
      <c r="F58" s="122">
        <f>VLOOKUP(D58,Poeng!$B$10:$AA$251,Poeng!AA$1,FALSE)</f>
        <v>1</v>
      </c>
      <c r="G58" s="43"/>
      <c r="H58" s="123">
        <f>VLOOKUP(D58,Poeng!$B$10:$AD$251,Poeng!AD$1,FALSE)</f>
        <v>0</v>
      </c>
      <c r="I58" s="124" t="str">
        <f>VLOOKUP(D58,Poeng!$B$10:$BD$251,Poeng!BD$1,FALSE)</f>
        <v>N/A</v>
      </c>
      <c r="J58" s="80"/>
      <c r="K58" s="281"/>
      <c r="L58" s="809"/>
      <c r="M58" s="829"/>
      <c r="N58" s="83"/>
      <c r="O58" s="123">
        <f>VLOOKUP(D58,Poeng!$B$10:$BB$251,Poeng!AE$1,FALSE)</f>
        <v>0</v>
      </c>
      <c r="P58" s="123" t="str">
        <f>VLOOKUP(D58,Poeng!$B$10:$BG$251,Poeng!BG$1,FALSE)</f>
        <v>N/A</v>
      </c>
      <c r="Q58" s="755"/>
      <c r="R58" s="756"/>
      <c r="S58" s="749"/>
      <c r="T58" s="319"/>
      <c r="U58" s="83"/>
      <c r="V58" s="123">
        <f>VLOOKUP(D58,Poeng!$B$10:$BB$251,Poeng!AF$1,FALSE)</f>
        <v>0</v>
      </c>
      <c r="W58" s="123" t="str">
        <f>VLOOKUP(D58,Poeng!$B$10:$BJ$251,Poeng!BJ$1,FALSE)</f>
        <v>N/A</v>
      </c>
      <c r="X58" s="81"/>
      <c r="Y58" s="80"/>
      <c r="Z58" s="1110"/>
      <c r="AA58" s="133"/>
      <c r="AB58" s="648"/>
      <c r="AC58" s="107">
        <f t="shared" si="0"/>
        <v>1</v>
      </c>
      <c r="AD58" s="3" t="e">
        <f>VLOOKUP(K58,'Assessment Details'!$O$45:$P$48,2,FALSE)</f>
        <v>#N/A</v>
      </c>
      <c r="AE58" s="3" t="e">
        <f>VLOOKUP(R58,'Assessment Details'!$O$45:$P$48,2,FALSE)</f>
        <v>#N/A</v>
      </c>
      <c r="AF58" s="3" t="e">
        <f>VLOOKUP(Y58,'Assessment Details'!$O$45:$P$48,2,FALSE)</f>
        <v>#N/A</v>
      </c>
      <c r="AI58" s="70"/>
      <c r="AJ58" s="679"/>
      <c r="AK58" s="70"/>
      <c r="AL58" s="70"/>
      <c r="AM58" s="70"/>
      <c r="AN58" s="70"/>
      <c r="AO58" s="70"/>
      <c r="AP58" s="70"/>
      <c r="AS58" s="23"/>
      <c r="AT58" s="23"/>
      <c r="AU58" s="23"/>
      <c r="AV58" s="23"/>
      <c r="AW58" s="23"/>
      <c r="AX58" s="23"/>
      <c r="AZ58" s="648"/>
    </row>
    <row r="59" spans="1:52" x14ac:dyDescent="0.25">
      <c r="A59" s="1091">
        <v>50</v>
      </c>
      <c r="B59" s="1092" t="s">
        <v>67</v>
      </c>
      <c r="C59" s="1097" t="str">
        <f t="shared" si="6"/>
        <v>Hea 06</v>
      </c>
      <c r="D59" s="837" t="s">
        <v>747</v>
      </c>
      <c r="E59" s="875" t="str">
        <f>VLOOKUP(D59,Poeng!$B$10:$Q$251,Poeng!D$1,FALSE)</f>
        <v xml:space="preserve">Biofilik design </v>
      </c>
      <c r="F59" s="122">
        <f>VLOOKUP(D59,Poeng!$B$10:$AA$251,Poeng!AA$1,FALSE)</f>
        <v>1</v>
      </c>
      <c r="G59" s="43"/>
      <c r="H59" s="123">
        <f>VLOOKUP(D59,Poeng!$B$10:$AD$251,Poeng!AD$1,FALSE)</f>
        <v>0</v>
      </c>
      <c r="I59" s="124" t="str">
        <f>VLOOKUP(D59,Poeng!$B$10:$BD$251,Poeng!BD$1,FALSE)</f>
        <v>N/A</v>
      </c>
      <c r="J59" s="80"/>
      <c r="K59" s="281"/>
      <c r="L59" s="809"/>
      <c r="M59" s="829"/>
      <c r="N59" s="83"/>
      <c r="O59" s="123">
        <f>VLOOKUP(D59,Poeng!$B$10:$BB$251,Poeng!AE$1,FALSE)</f>
        <v>0</v>
      </c>
      <c r="P59" s="123" t="str">
        <f>VLOOKUP(D59,Poeng!$B$10:$BG$251,Poeng!BG$1,FALSE)</f>
        <v>N/A</v>
      </c>
      <c r="Q59" s="755"/>
      <c r="R59" s="756"/>
      <c r="S59" s="749"/>
      <c r="T59" s="319"/>
      <c r="U59" s="83"/>
      <c r="V59" s="123">
        <f>VLOOKUP(D59,Poeng!$B$10:$BB$251,Poeng!AF$1,FALSE)</f>
        <v>0</v>
      </c>
      <c r="W59" s="123" t="str">
        <f>VLOOKUP(D59,Poeng!$B$10:$BJ$251,Poeng!BJ$1,FALSE)</f>
        <v>N/A</v>
      </c>
      <c r="X59" s="81"/>
      <c r="Y59" s="80"/>
      <c r="Z59" s="749"/>
      <c r="AA59" s="133"/>
      <c r="AB59" s="648"/>
      <c r="AC59" s="107">
        <f t="shared" si="0"/>
        <v>1</v>
      </c>
      <c r="AD59" s="3" t="e">
        <f>VLOOKUP(K59,'Assessment Details'!$O$45:$P$48,2,FALSE)</f>
        <v>#N/A</v>
      </c>
      <c r="AE59" s="3" t="e">
        <f>VLOOKUP(R59,'Assessment Details'!$O$45:$P$48,2,FALSE)</f>
        <v>#N/A</v>
      </c>
      <c r="AF59" s="3" t="e">
        <f>VLOOKUP(Y59,'Assessment Details'!$O$45:$P$48,2,FALSE)</f>
        <v>#N/A</v>
      </c>
      <c r="AI59" s="70"/>
      <c r="AJ59" s="679"/>
      <c r="AK59" s="70"/>
      <c r="AL59" s="70"/>
      <c r="AM59" s="70"/>
      <c r="AN59" s="70"/>
      <c r="AO59" s="70"/>
      <c r="AP59" s="70"/>
      <c r="AS59" s="23"/>
      <c r="AT59" s="23"/>
      <c r="AU59" s="23"/>
      <c r="AV59" s="23"/>
      <c r="AW59" s="23"/>
      <c r="AX59" s="23"/>
      <c r="AZ59" s="648"/>
    </row>
    <row r="60" spans="1:52" x14ac:dyDescent="0.25">
      <c r="A60" s="1091">
        <v>51</v>
      </c>
      <c r="B60" s="1092" t="s">
        <v>67</v>
      </c>
      <c r="C60" s="938" t="s">
        <v>126</v>
      </c>
      <c r="D60" s="837" t="s">
        <v>126</v>
      </c>
      <c r="E60" s="874" t="str">
        <f>VLOOKUP(D60,Poeng!$B$10:$Q$251,Poeng!D$1,FALSE)</f>
        <v>Hea 08 Private space</v>
      </c>
      <c r="F60" s="879">
        <f>VLOOKUP(D60,Poeng!$B$10:$AA$251,Poeng!AA$1,FALSE)</f>
        <v>0</v>
      </c>
      <c r="G60" s="1015"/>
      <c r="H60" s="880" t="str">
        <f>VLOOKUP(D60,Poeng!$B$10:$AH$251,Poeng!AH$1,FALSE)&amp;" c. "&amp;ROUND(VLOOKUP(D60,Poeng!$B$10:$AD$251,Poeng!AD$1,FALSE)*100,1)&amp;" %"</f>
        <v>0 c. 0 %</v>
      </c>
      <c r="I60" s="938" t="str">
        <f>VLOOKUP(D60,Poeng!$B$10:$BD$251,Poeng!BD$1,FALSE)</f>
        <v>N/A</v>
      </c>
      <c r="J60" s="80"/>
      <c r="K60" s="281"/>
      <c r="L60" s="809"/>
      <c r="M60" s="829"/>
      <c r="N60" s="1015"/>
      <c r="O60" s="891" t="str">
        <f>VLOOKUP(D60,Poeng!$B$10:$BB$251,Poeng!AI$1,FALSE)&amp;" c. "&amp;ROUND(VLOOKUP(D60,Poeng!$B$10:$BB$251,Poeng!AE$1,FALSE)*100,1)&amp;" %"</f>
        <v>0 c. 0 %</v>
      </c>
      <c r="P60" s="123" t="str">
        <f>VLOOKUP(D60,Poeng!$B$10:$BG$251,Poeng!BG$1,FALSE)</f>
        <v>N/A</v>
      </c>
      <c r="Q60" s="755"/>
      <c r="R60" s="756"/>
      <c r="S60" s="749"/>
      <c r="T60" s="319"/>
      <c r="U60" s="1015"/>
      <c r="V60" s="891" t="str">
        <f>VLOOKUP(D60,Poeng!$B$10:$BB$251,Poeng!AJ$1,FALSE)&amp;" c. "&amp;ROUND(VLOOKUP(D60,Poeng!$B$10:$BB$251,Poeng!AF$1,FALSE)*100,1)&amp;" %"</f>
        <v>0 c. 0 %</v>
      </c>
      <c r="W60" s="123" t="str">
        <f>VLOOKUP(D60,Poeng!$B$10:$BJ$251,Poeng!BJ$1,FALSE)</f>
        <v>N/A</v>
      </c>
      <c r="X60" s="81"/>
      <c r="Y60" s="80"/>
      <c r="Z60" s="749"/>
      <c r="AA60" s="133"/>
      <c r="AB60" s="648" t="s">
        <v>15</v>
      </c>
      <c r="AC60" s="107">
        <f t="shared" si="0"/>
        <v>2</v>
      </c>
      <c r="AD60" s="3" t="e">
        <f>VLOOKUP(K60,'Assessment Details'!$O$45:$P$48,2,FALSE)</f>
        <v>#N/A</v>
      </c>
      <c r="AE60" s="3" t="e">
        <f>VLOOKUP(R60,'Assessment Details'!$O$45:$P$48,2,FALSE)</f>
        <v>#N/A</v>
      </c>
      <c r="AF60" s="3" t="e">
        <f>VLOOKUP(Y60,'Assessment Details'!$O$45:$P$48,2,FALSE)</f>
        <v>#N/A</v>
      </c>
      <c r="AI60" s="70"/>
      <c r="AJ60" s="679" t="s">
        <v>118</v>
      </c>
      <c r="AK60" s="70"/>
      <c r="AL60" s="70"/>
      <c r="AM60" s="70"/>
      <c r="AN60" s="70"/>
      <c r="AO60" s="70"/>
      <c r="AP60" s="70"/>
      <c r="AS60" s="23" t="str">
        <f t="shared" si="3"/>
        <v>N/A</v>
      </c>
      <c r="AT60" s="23" t="str">
        <f t="shared" si="1"/>
        <v>N/A</v>
      </c>
      <c r="AU60" s="23" t="str">
        <f t="shared" si="2"/>
        <v>N/A</v>
      </c>
      <c r="AV60" s="23"/>
      <c r="AW60" s="23"/>
      <c r="AX60" s="23"/>
      <c r="AZ60" s="648"/>
    </row>
    <row r="61" spans="1:52" x14ac:dyDescent="0.25">
      <c r="A61" s="1091">
        <v>52</v>
      </c>
      <c r="B61" s="1092" t="s">
        <v>67</v>
      </c>
      <c r="C61" s="1097" t="str">
        <f t="shared" si="6"/>
        <v>Hea 08</v>
      </c>
      <c r="D61" s="837" t="s">
        <v>748</v>
      </c>
      <c r="E61" s="875" t="str">
        <f>VLOOKUP(D61,Poeng!$B$10:$Q$251,Poeng!D$1,FALSE)</f>
        <v xml:space="preserve">Private outdoor spaces </v>
      </c>
      <c r="F61" s="122">
        <f>VLOOKUP(D61,Poeng!$B$10:$AA$251,Poeng!AA$1,FALSE)</f>
        <v>0</v>
      </c>
      <c r="G61" s="43"/>
      <c r="H61" s="123">
        <f>VLOOKUP(D61,Poeng!$B$10:$AD$251,Poeng!AD$1,FALSE)</f>
        <v>0</v>
      </c>
      <c r="I61" s="124" t="str">
        <f>VLOOKUP(D61,Poeng!$B$10:$BD$251,Poeng!BD$1,FALSE)</f>
        <v>N/A</v>
      </c>
      <c r="J61" s="80"/>
      <c r="K61" s="281"/>
      <c r="L61" s="809"/>
      <c r="M61" s="829"/>
      <c r="N61" s="83"/>
      <c r="O61" s="123">
        <f>VLOOKUP(D61,Poeng!$B$10:$BB$251,Poeng!AE$1,FALSE)</f>
        <v>0</v>
      </c>
      <c r="P61" s="123" t="str">
        <f>VLOOKUP(D61,Poeng!$B$10:$BG$251,Poeng!BG$1,FALSE)</f>
        <v>N/A</v>
      </c>
      <c r="Q61" s="755"/>
      <c r="R61" s="756"/>
      <c r="S61" s="1110"/>
      <c r="T61" s="319"/>
      <c r="U61" s="83"/>
      <c r="V61" s="123">
        <f>VLOOKUP(D61,Poeng!$B$10:$BB$251,Poeng!AF$1,FALSE)</f>
        <v>0</v>
      </c>
      <c r="W61" s="123" t="str">
        <f>VLOOKUP(D61,Poeng!$B$10:$BJ$251,Poeng!BJ$1,FALSE)</f>
        <v>N/A</v>
      </c>
      <c r="X61" s="81"/>
      <c r="Y61" s="80"/>
      <c r="Z61" s="1110"/>
      <c r="AA61" s="133"/>
      <c r="AB61" s="725"/>
      <c r="AC61" s="107">
        <f t="shared" si="0"/>
        <v>2</v>
      </c>
      <c r="AD61" s="3" t="e">
        <f>VLOOKUP(K61,'Assessment Details'!$O$45:$P$48,2,FALSE)</f>
        <v>#N/A</v>
      </c>
      <c r="AE61" s="3" t="e">
        <f>VLOOKUP(R61,'Assessment Details'!$O$45:$P$48,2,FALSE)</f>
        <v>#N/A</v>
      </c>
      <c r="AF61" s="3" t="e">
        <f>VLOOKUP(Y61,'Assessment Details'!$O$45:$P$48,2,FALSE)</f>
        <v>#N/A</v>
      </c>
      <c r="AI61" s="70"/>
      <c r="AJ61" s="679"/>
      <c r="AK61" s="70"/>
      <c r="AL61" s="70"/>
      <c r="AM61" s="70"/>
      <c r="AN61" s="70"/>
      <c r="AO61" s="70"/>
      <c r="AP61" s="70"/>
      <c r="AS61" s="23"/>
      <c r="AT61" s="23"/>
      <c r="AU61" s="23"/>
      <c r="AV61" s="23"/>
      <c r="AW61" s="23"/>
      <c r="AX61" s="23"/>
      <c r="AZ61" s="725"/>
    </row>
    <row r="62" spans="1:52" ht="15.75" thickBot="1" x14ac:dyDescent="0.3">
      <c r="A62" s="1091">
        <v>53</v>
      </c>
      <c r="B62" s="1092" t="s">
        <v>67</v>
      </c>
      <c r="C62" s="1098"/>
      <c r="D62" s="837" t="s">
        <v>887</v>
      </c>
      <c r="E62" s="320" t="s">
        <v>106</v>
      </c>
      <c r="F62" s="125">
        <f>Hea_Credits</f>
        <v>19</v>
      </c>
      <c r="G62" s="131"/>
      <c r="H62" s="126">
        <f>Hea_cont_tot</f>
        <v>0</v>
      </c>
      <c r="I62" s="881" t="str">
        <f>"Credits achieved: "&amp;HW_tot_user</f>
        <v>Credits achieved: 0</v>
      </c>
      <c r="J62" s="134"/>
      <c r="K62" s="282"/>
      <c r="L62" s="757"/>
      <c r="M62" s="829"/>
      <c r="N62" s="383"/>
      <c r="O62" s="126">
        <f>VLOOKUP(D62,Poeng!$B$10:$BB$251,Poeng!AE$1,FALSE)</f>
        <v>0</v>
      </c>
      <c r="P62" s="881" t="str">
        <f>"Credits achieved: "&amp;HW_d_user</f>
        <v>Credits achieved: 0</v>
      </c>
      <c r="Q62" s="758"/>
      <c r="R62" s="759"/>
      <c r="S62" s="757"/>
      <c r="T62" s="319"/>
      <c r="U62" s="383"/>
      <c r="V62" s="126">
        <f>VLOOKUP(D62,Poeng!$B$10:$BB$251,Poeng!AF$1,FALSE)</f>
        <v>0</v>
      </c>
      <c r="W62" s="881" t="str">
        <f>"Credits achieved: "&amp;HW_c_user</f>
        <v>Credits achieved: 0</v>
      </c>
      <c r="X62" s="382"/>
      <c r="Y62" s="136"/>
      <c r="Z62" s="757"/>
      <c r="AA62" s="133"/>
      <c r="AB62" s="649"/>
      <c r="AC62" s="107">
        <f t="shared" si="0"/>
        <v>1</v>
      </c>
      <c r="AD62" s="276">
        <v>0</v>
      </c>
      <c r="AE62" s="276">
        <v>0</v>
      </c>
      <c r="AF62" s="276">
        <v>0</v>
      </c>
      <c r="AI62" s="70"/>
      <c r="AJ62" s="679" t="s">
        <v>106</v>
      </c>
      <c r="AK62" s="70"/>
      <c r="AL62" s="70"/>
      <c r="AM62" s="70"/>
      <c r="AN62" s="70"/>
      <c r="AO62" s="70"/>
      <c r="AP62" s="70"/>
      <c r="AS62" s="23" t="str">
        <f t="shared" si="3"/>
        <v>N/A</v>
      </c>
      <c r="AT62" s="23" t="str">
        <f t="shared" si="1"/>
        <v>N/A</v>
      </c>
      <c r="AU62" s="23" t="str">
        <f t="shared" si="2"/>
        <v>N/A</v>
      </c>
      <c r="AV62" s="23"/>
      <c r="AW62" s="23"/>
      <c r="AX62" s="23"/>
      <c r="AZ62" s="649"/>
    </row>
    <row r="63" spans="1:52" x14ac:dyDescent="0.25">
      <c r="A63" s="1091">
        <v>54</v>
      </c>
      <c r="B63" s="1092" t="s">
        <v>67</v>
      </c>
      <c r="C63" s="1100"/>
      <c r="D63" s="837"/>
      <c r="E63" s="334"/>
      <c r="F63" s="322"/>
      <c r="G63" s="323"/>
      <c r="H63" s="322"/>
      <c r="I63" s="322"/>
      <c r="J63" s="324"/>
      <c r="K63" s="323"/>
      <c r="L63" s="760"/>
      <c r="M63" s="828"/>
      <c r="N63" s="325"/>
      <c r="O63" s="325"/>
      <c r="P63" s="760"/>
      <c r="Q63" s="760"/>
      <c r="R63" s="761"/>
      <c r="S63" s="1109"/>
      <c r="T63" s="326"/>
      <c r="U63" s="325"/>
      <c r="V63" s="325"/>
      <c r="W63" s="760"/>
      <c r="X63" s="324"/>
      <c r="Y63" s="325"/>
      <c r="Z63" s="1109"/>
      <c r="AA63" s="710"/>
      <c r="AB63" s="324"/>
      <c r="AC63" s="107">
        <f t="shared" si="0"/>
        <v>1</v>
      </c>
      <c r="AD63" s="278">
        <v>0</v>
      </c>
      <c r="AE63" s="278">
        <v>0</v>
      </c>
      <c r="AF63" s="278">
        <v>0</v>
      </c>
      <c r="AI63" s="70"/>
      <c r="AJ63" s="679"/>
      <c r="AK63" s="70"/>
      <c r="AL63" s="70"/>
      <c r="AM63" s="70"/>
      <c r="AN63" s="70"/>
      <c r="AO63" s="70"/>
      <c r="AP63" s="70"/>
      <c r="AS63" s="23" t="str">
        <f t="shared" si="3"/>
        <v>N/A</v>
      </c>
      <c r="AT63" s="23" t="str">
        <f t="shared" si="1"/>
        <v>N/A</v>
      </c>
      <c r="AU63" s="23" t="str">
        <f t="shared" si="2"/>
        <v>N/A</v>
      </c>
      <c r="AV63" s="23"/>
      <c r="AW63" s="23"/>
      <c r="AX63" s="23"/>
      <c r="AZ63" s="324"/>
    </row>
    <row r="64" spans="1:52" ht="18.75" x14ac:dyDescent="0.25">
      <c r="A64" s="1091">
        <v>55</v>
      </c>
      <c r="B64" s="1092" t="s">
        <v>68</v>
      </c>
      <c r="C64" s="1101"/>
      <c r="D64" s="837"/>
      <c r="E64" s="335" t="s">
        <v>46</v>
      </c>
      <c r="F64" s="315"/>
      <c r="G64" s="316"/>
      <c r="H64" s="336"/>
      <c r="I64" s="315"/>
      <c r="J64" s="328"/>
      <c r="K64" s="329"/>
      <c r="L64" s="763"/>
      <c r="M64" s="828"/>
      <c r="N64" s="339"/>
      <c r="O64" s="332"/>
      <c r="P64" s="753"/>
      <c r="Q64" s="764"/>
      <c r="R64" s="765"/>
      <c r="S64" s="766"/>
      <c r="T64" s="319"/>
      <c r="U64" s="339"/>
      <c r="V64" s="338"/>
      <c r="W64" s="753"/>
      <c r="X64" s="328"/>
      <c r="Y64" s="338"/>
      <c r="Z64" s="763"/>
      <c r="AA64" s="133"/>
      <c r="AB64" s="337"/>
      <c r="AC64" s="107">
        <f t="shared" si="0"/>
        <v>1</v>
      </c>
      <c r="AD64" s="275">
        <v>0</v>
      </c>
      <c r="AE64" s="275">
        <v>0</v>
      </c>
      <c r="AF64" s="275">
        <v>0</v>
      </c>
      <c r="AI64" s="70"/>
      <c r="AJ64" s="679" t="s">
        <v>46</v>
      </c>
      <c r="AK64" s="70"/>
      <c r="AL64" s="70"/>
      <c r="AM64" s="70"/>
      <c r="AN64" s="70"/>
      <c r="AO64" s="70"/>
      <c r="AP64" s="70"/>
      <c r="AS64" s="23" t="str">
        <f t="shared" si="3"/>
        <v>N/A</v>
      </c>
      <c r="AT64" s="23" t="str">
        <f t="shared" si="1"/>
        <v>N/A</v>
      </c>
      <c r="AU64" s="23" t="str">
        <f t="shared" si="2"/>
        <v>N/A</v>
      </c>
      <c r="AV64" s="23"/>
      <c r="AW64" s="23"/>
      <c r="AX64" s="23"/>
      <c r="AZ64" s="337"/>
    </row>
    <row r="65" spans="1:52" x14ac:dyDescent="0.25">
      <c r="A65" s="1091">
        <v>56</v>
      </c>
      <c r="B65" s="1092" t="s">
        <v>68</v>
      </c>
      <c r="C65" s="938" t="s">
        <v>137</v>
      </c>
      <c r="D65" s="837" t="s">
        <v>137</v>
      </c>
      <c r="E65" s="874" t="str">
        <f>VLOOKUP(D65,Poeng!$B$10:$Q$251,Poeng!D$1,FALSE)</f>
        <v>Ene 01 Energy efficiency</v>
      </c>
      <c r="F65" s="879">
        <f>VLOOKUP(D65,Poeng!$B$10:$AA$251,Poeng!AA$1,FALSE)</f>
        <v>12</v>
      </c>
      <c r="G65" s="1014"/>
      <c r="H65" s="880" t="str">
        <f>VLOOKUP(D65,Poeng!$B$10:$AH$251,Poeng!AH$1,FALSE)&amp;" c. "&amp;ROUND(VLOOKUP(D65,Poeng!$B$10:$AD$251,Poeng!AD$1,FALSE)*100,1)&amp;" %"</f>
        <v>0 c. 0 %</v>
      </c>
      <c r="I65" s="937" t="str">
        <f>VLOOKUP(D65,Poeng!$B$10:$BD$251,Poeng!BD$1,FALSE)</f>
        <v>N/A</v>
      </c>
      <c r="J65" s="888"/>
      <c r="K65" s="889"/>
      <c r="L65" s="890"/>
      <c r="M65" s="828"/>
      <c r="N65" s="1015"/>
      <c r="O65" s="1108" t="str">
        <f>VLOOKUP(D65,Poeng!$B$10:$BB$251,Poeng!AI$1,FALSE)&amp;" c. "&amp;ROUND(VLOOKUP(D65,Poeng!$B$10:$BB$251,Poeng!AE$1,FALSE)*100,1)&amp;" %"</f>
        <v>0 c. 0 %</v>
      </c>
      <c r="P65" s="123" t="str">
        <f>VLOOKUP(D65,Poeng!$B$10:$BG$251,Poeng!BG$1,FALSE)</f>
        <v>N/A</v>
      </c>
      <c r="Q65" s="755"/>
      <c r="R65" s="756"/>
      <c r="S65" s="749"/>
      <c r="T65" s="319"/>
      <c r="U65" s="1015"/>
      <c r="V65" s="891" t="str">
        <f>VLOOKUP(D65,Poeng!$B$10:$BB$251,Poeng!AJ$1,FALSE)&amp;" c. "&amp;ROUND(VLOOKUP(D65,Poeng!$B$10:$BB$251,Poeng!AF$1,FALSE)*100,1)&amp;" %"</f>
        <v>0 c. 0 %</v>
      </c>
      <c r="W65" s="123" t="str">
        <f>VLOOKUP(D65,Poeng!$B$10:$BJ$251,Poeng!BJ$1,FALSE)</f>
        <v>N/A</v>
      </c>
      <c r="X65" s="81"/>
      <c r="Y65" s="80"/>
      <c r="Z65" s="749"/>
      <c r="AA65" s="133"/>
      <c r="AB65" s="648" t="s">
        <v>14</v>
      </c>
      <c r="AC65" s="107">
        <f t="shared" si="0"/>
        <v>1</v>
      </c>
      <c r="AD65" s="3" t="e">
        <f>VLOOKUP(K65,'Assessment Details'!$O$45:$P$48,2,FALSE)</f>
        <v>#N/A</v>
      </c>
      <c r="AE65" s="3" t="e">
        <f>VLOOKUP(R65,'Assessment Details'!$O$45:$P$48,2,FALSE)</f>
        <v>#N/A</v>
      </c>
      <c r="AF65" s="3" t="e">
        <f>VLOOKUP(Y65,'Assessment Details'!$O$45:$P$48,2,FALSE)</f>
        <v>#N/A</v>
      </c>
      <c r="AI65" s="70"/>
      <c r="AJ65" s="679" t="s">
        <v>130</v>
      </c>
      <c r="AK65" s="656" t="s">
        <v>408</v>
      </c>
      <c r="AL65" s="656" t="s">
        <v>410</v>
      </c>
      <c r="AM65" s="70"/>
      <c r="AN65" s="70"/>
      <c r="AO65" s="70"/>
      <c r="AP65" s="70"/>
      <c r="AR65" s="1" t="s">
        <v>14</v>
      </c>
      <c r="AS65" s="23" t="str">
        <f t="shared" si="3"/>
        <v>N/A</v>
      </c>
      <c r="AT65" s="23" t="str">
        <f t="shared" si="1"/>
        <v>N/A</v>
      </c>
      <c r="AU65" s="23" t="str">
        <f t="shared" si="2"/>
        <v>N/A</v>
      </c>
      <c r="AV65" s="23"/>
      <c r="AW65" s="23"/>
      <c r="AX65" s="23"/>
      <c r="AZ65" s="648"/>
    </row>
    <row r="66" spans="1:52" x14ac:dyDescent="0.25">
      <c r="A66" s="1091">
        <v>57</v>
      </c>
      <c r="B66" s="1092" t="s">
        <v>68</v>
      </c>
      <c r="C66" s="1097" t="str">
        <f t="shared" si="6"/>
        <v>Ene 01</v>
      </c>
      <c r="D66" s="19" t="s">
        <v>749</v>
      </c>
      <c r="E66" s="875" t="str">
        <f>VLOOKUP(D66,Poeng!$B$10:$Q$251,Poeng!D$1,FALSE)</f>
        <v xml:space="preserve">Passive design </v>
      </c>
      <c r="F66" s="122">
        <f>VLOOKUP(D66,Poeng!$B$10:$AA$251,Poeng!AA$1,FALSE)</f>
        <v>2</v>
      </c>
      <c r="G66" s="43"/>
      <c r="H66" s="123">
        <f>VLOOKUP(D66,Poeng!$B$10:$AD$251,Poeng!AD$1,FALSE)</f>
        <v>0</v>
      </c>
      <c r="I66" s="124" t="str">
        <f>VLOOKUP(D66,Poeng!$B$10:$BD$251,Poeng!BD$1,FALSE)</f>
        <v>N/A</v>
      </c>
      <c r="J66" s="80"/>
      <c r="K66" s="281"/>
      <c r="L66" s="749"/>
      <c r="M66" s="829"/>
      <c r="N66" s="83"/>
      <c r="O66" s="123">
        <f>VLOOKUP(D66,Poeng!$B$10:$BB$251,Poeng!AE$1,FALSE)</f>
        <v>0</v>
      </c>
      <c r="P66" s="123" t="str">
        <f>VLOOKUP(D66,Poeng!$B$10:$BG$251,Poeng!BG$1,FALSE)</f>
        <v>N/A</v>
      </c>
      <c r="Q66" s="755"/>
      <c r="R66" s="756"/>
      <c r="S66" s="749"/>
      <c r="T66" s="319"/>
      <c r="U66" s="83"/>
      <c r="V66" s="123">
        <f>VLOOKUP(D66,Poeng!$B$10:$BB$251,Poeng!AF$1,FALSE)</f>
        <v>0</v>
      </c>
      <c r="W66" s="123" t="str">
        <f>VLOOKUP(D66,Poeng!$B$10:$BJ$251,Poeng!BJ$1,FALSE)</f>
        <v>N/A</v>
      </c>
      <c r="X66" s="81"/>
      <c r="Y66" s="80"/>
      <c r="Z66" s="749"/>
      <c r="AC66" s="107">
        <f t="shared" si="0"/>
        <v>1</v>
      </c>
      <c r="AD66" s="3" t="e">
        <f>VLOOKUP(K66,'Assessment Details'!$O$45:$P$48,2,FALSE)</f>
        <v>#N/A</v>
      </c>
      <c r="AE66" s="3" t="e">
        <f>VLOOKUP(R66,'Assessment Details'!$O$45:$P$48,2,FALSE)</f>
        <v>#N/A</v>
      </c>
      <c r="AF66" s="3" t="e">
        <f>VLOOKUP(Y66,'Assessment Details'!$O$45:$P$48,2,FALSE)</f>
        <v>#N/A</v>
      </c>
    </row>
    <row r="67" spans="1:52" x14ac:dyDescent="0.25">
      <c r="A67" s="1091">
        <v>58</v>
      </c>
      <c r="B67" s="1092" t="s">
        <v>68</v>
      </c>
      <c r="C67" s="1097" t="str">
        <f t="shared" si="6"/>
        <v>Ene 01</v>
      </c>
      <c r="D67" s="19" t="s">
        <v>750</v>
      </c>
      <c r="E67" s="875" t="str">
        <f>VLOOKUP(D67,Poeng!$B$10:$Q$251,Poeng!D$1,FALSE)</f>
        <v xml:space="preserve">Low and zero carbon technologies </v>
      </c>
      <c r="F67" s="122">
        <f>VLOOKUP(D67,Poeng!$B$10:$AA$251,Poeng!AA$1,FALSE)</f>
        <v>1</v>
      </c>
      <c r="G67" s="43"/>
      <c r="H67" s="123">
        <f>VLOOKUP(D67,Poeng!$B$10:$AD$251,Poeng!AD$1,FALSE)</f>
        <v>0</v>
      </c>
      <c r="I67" s="124" t="str">
        <f>VLOOKUP(D67,Poeng!$B$10:$BD$251,Poeng!BD$1,FALSE)</f>
        <v>N/A</v>
      </c>
      <c r="J67" s="80"/>
      <c r="K67" s="281"/>
      <c r="L67" s="809"/>
      <c r="M67" s="829"/>
      <c r="N67" s="83"/>
      <c r="O67" s="123">
        <f>VLOOKUP(D67,Poeng!$B$10:$BB$251,Poeng!AE$1,FALSE)</f>
        <v>0</v>
      </c>
      <c r="P67" s="123" t="str">
        <f>VLOOKUP(D67,Poeng!$B$10:$BG$251,Poeng!BG$1,FALSE)</f>
        <v>N/A</v>
      </c>
      <c r="Q67" s="755"/>
      <c r="R67" s="756"/>
      <c r="S67" s="749"/>
      <c r="T67" s="319"/>
      <c r="U67" s="83"/>
      <c r="V67" s="123">
        <f>VLOOKUP(D67,Poeng!$B$10:$BB$251,Poeng!AF$1,FALSE)</f>
        <v>0</v>
      </c>
      <c r="W67" s="123" t="str">
        <f>VLOOKUP(D67,Poeng!$B$10:$BJ$251,Poeng!BJ$1,FALSE)</f>
        <v>N/A</v>
      </c>
      <c r="X67" s="81"/>
      <c r="Y67" s="80"/>
      <c r="Z67" s="749"/>
      <c r="AC67" s="107">
        <f t="shared" si="0"/>
        <v>1</v>
      </c>
      <c r="AD67" s="3" t="e">
        <f>VLOOKUP(K67,'Assessment Details'!$O$45:$P$48,2,FALSE)</f>
        <v>#N/A</v>
      </c>
      <c r="AE67" s="3" t="e">
        <f>VLOOKUP(R67,'Assessment Details'!$O$45:$P$48,2,FALSE)</f>
        <v>#N/A</v>
      </c>
      <c r="AF67" s="3" t="e">
        <f>VLOOKUP(Y67,'Assessment Details'!$O$45:$P$48,2,FALSE)</f>
        <v>#N/A</v>
      </c>
    </row>
    <row r="68" spans="1:52" x14ac:dyDescent="0.25">
      <c r="A68" s="1091">
        <v>59</v>
      </c>
      <c r="B68" s="1092" t="s">
        <v>68</v>
      </c>
      <c r="C68" s="1097" t="str">
        <f>C67</f>
        <v>Ene 01</v>
      </c>
      <c r="D68" s="19" t="s">
        <v>751</v>
      </c>
      <c r="E68" s="875" t="str">
        <f>VLOOKUP(D68,Poeng!$B$10:$Q$251,Poeng!D$1,FALSE)</f>
        <v xml:space="preserve">Energy performance </v>
      </c>
      <c r="F68" s="122">
        <f>VLOOKUP(D68,Poeng!$B$10:$AA$251,Poeng!AA$1,FALSE)</f>
        <v>4</v>
      </c>
      <c r="G68" s="43"/>
      <c r="H68" s="123">
        <f>VLOOKUP(D68,Poeng!$B$10:$AD$251,Poeng!AD$1,FALSE)</f>
        <v>0</v>
      </c>
      <c r="I68" s="124" t="str">
        <f>VLOOKUP(D68,Poeng!$B$10:$BD$251,Poeng!BD$1,FALSE)</f>
        <v>Very Good</v>
      </c>
      <c r="J68" s="80"/>
      <c r="K68" s="281"/>
      <c r="L68" s="809"/>
      <c r="M68" s="829"/>
      <c r="N68" s="83"/>
      <c r="O68" s="123">
        <f>VLOOKUP(D68,Poeng!$B$10:$BB$251,Poeng!AE$1,FALSE)</f>
        <v>0</v>
      </c>
      <c r="P68" s="123" t="str">
        <f>VLOOKUP(D68,Poeng!$B$10:$BG$251,Poeng!BG$1,FALSE)</f>
        <v>Very Good</v>
      </c>
      <c r="Q68" s="755"/>
      <c r="R68" s="756"/>
      <c r="S68" s="749"/>
      <c r="T68" s="319"/>
      <c r="U68" s="83"/>
      <c r="V68" s="123">
        <f>VLOOKUP(D68,Poeng!$B$10:$BB$251,Poeng!AF$1,FALSE)</f>
        <v>0</v>
      </c>
      <c r="W68" s="123" t="str">
        <f>VLOOKUP(D68,Poeng!$B$10:$BJ$251,Poeng!BJ$1,FALSE)</f>
        <v>Very Good</v>
      </c>
      <c r="X68" s="81"/>
      <c r="Y68" s="80"/>
      <c r="Z68" s="749"/>
      <c r="AC68" s="107">
        <f t="shared" si="0"/>
        <v>1</v>
      </c>
      <c r="AD68" s="3" t="e">
        <f>VLOOKUP(K68,'Assessment Details'!$O$45:$P$48,2,FALSE)</f>
        <v>#N/A</v>
      </c>
      <c r="AE68" s="3" t="e">
        <f>VLOOKUP(R68,'Assessment Details'!$O$45:$P$48,2,FALSE)</f>
        <v>#N/A</v>
      </c>
      <c r="AF68" s="3" t="e">
        <f>VLOOKUP(Y68,'Assessment Details'!$O$45:$P$48,2,FALSE)</f>
        <v>#N/A</v>
      </c>
    </row>
    <row r="69" spans="1:52" x14ac:dyDescent="0.25">
      <c r="A69" s="1091">
        <v>60</v>
      </c>
      <c r="B69" s="1092" t="s">
        <v>68</v>
      </c>
      <c r="C69" s="1097" t="str">
        <f>C67</f>
        <v>Ene 01</v>
      </c>
      <c r="D69" s="19" t="s">
        <v>1043</v>
      </c>
      <c r="E69" s="875" t="str">
        <f>VLOOKUP(D69,Poeng!$B$10:$Q$256,Poeng!D$1,FALSE)</f>
        <v>EU taxonomy requirement: criterion 10</v>
      </c>
      <c r="F69" s="122" t="str">
        <f>VLOOKUP(D69,Poeng!$B$10:$AA$256,Poeng!AA$1,FALSE)</f>
        <v>Yes/No</v>
      </c>
      <c r="G69" s="43"/>
      <c r="H69" s="123" t="str">
        <f>VLOOKUP(D69,Poeng!$B$10:$AD$256,Poeng!AD$1,FALSE)</f>
        <v>-</v>
      </c>
      <c r="I69" s="124" t="str">
        <f>VLOOKUP(D69,Poeng!$B$10:$BD$256,Poeng!BD$1,FALSE)</f>
        <v>N/A</v>
      </c>
      <c r="J69" s="80"/>
      <c r="K69" s="281"/>
      <c r="L69" s="809"/>
      <c r="M69" s="829"/>
      <c r="N69" s="83"/>
      <c r="O69" s="123" t="str">
        <f>VLOOKUP(D69,Poeng!$B$10:$BB$256,Poeng!AE$1,FALSE)</f>
        <v>-</v>
      </c>
      <c r="P69" s="123" t="str">
        <f>VLOOKUP(D69,Poeng!$B$10:$BG$256,Poeng!BG$1,FALSE)</f>
        <v>N/A</v>
      </c>
      <c r="Q69" s="755"/>
      <c r="R69" s="756" t="s">
        <v>0</v>
      </c>
      <c r="S69" s="749"/>
      <c r="T69" s="319"/>
      <c r="U69" s="83"/>
      <c r="V69" s="123" t="str">
        <f>VLOOKUP(D69,Poeng!$B$10:$BB$256,Poeng!AF$1,FALSE)</f>
        <v>-</v>
      </c>
      <c r="W69" s="123" t="str">
        <f>VLOOKUP(D69,Poeng!$B$10:$BJ$256,Poeng!BJ$1,FALSE)</f>
        <v>N/A</v>
      </c>
      <c r="X69" s="81"/>
      <c r="Y69" s="80"/>
      <c r="Z69" s="749"/>
      <c r="AC69" s="107">
        <f t="shared" ref="AC69" si="9">IF(F69="",1,IF(F69=0,2,1))</f>
        <v>1</v>
      </c>
      <c r="AD69" s="3" t="e">
        <f>VLOOKUP(K69,'Assessment Details'!$O$45:$P$48,2,FALSE)</f>
        <v>#N/A</v>
      </c>
      <c r="AE69" s="3">
        <f>VLOOKUP(R69,'Assessment Details'!$O$45:$P$48,2,FALSE)</f>
        <v>4</v>
      </c>
      <c r="AF69" s="3" t="e">
        <f>VLOOKUP(Y69,'Assessment Details'!$O$45:$P$48,2,FALSE)</f>
        <v>#N/A</v>
      </c>
    </row>
    <row r="70" spans="1:52" x14ac:dyDescent="0.25">
      <c r="A70" s="1091">
        <v>61</v>
      </c>
      <c r="B70" s="1092" t="s">
        <v>68</v>
      </c>
      <c r="C70" s="1097" t="str">
        <f>C68</f>
        <v>Ene 01</v>
      </c>
      <c r="D70" s="19" t="s">
        <v>752</v>
      </c>
      <c r="E70" s="875" t="str">
        <f>VLOOKUP(D70,Poeng!$B$10:$Q$251,Poeng!D$1,FALSE)</f>
        <v xml:space="preserve">Adaptation to EU taxonomy </v>
      </c>
      <c r="F70" s="122">
        <f>VLOOKUP(D70,Poeng!$B$10:$AA$251,Poeng!AA$1,FALSE)</f>
        <v>1</v>
      </c>
      <c r="G70" s="43"/>
      <c r="H70" s="123">
        <f>VLOOKUP(D70,Poeng!$B$10:$AD$251,Poeng!AD$1,FALSE)</f>
        <v>0</v>
      </c>
      <c r="I70" s="124" t="str">
        <f>VLOOKUP(D70,Poeng!$B$10:$BD$251,Poeng!BD$1,FALSE)</f>
        <v>Very Good</v>
      </c>
      <c r="J70" s="80"/>
      <c r="K70" s="281"/>
      <c r="L70" s="809"/>
      <c r="M70" s="829"/>
      <c r="N70" s="83"/>
      <c r="O70" s="123">
        <f>VLOOKUP(D70,Poeng!$B$10:$BB$251,Poeng!AE$1,FALSE)</f>
        <v>0</v>
      </c>
      <c r="P70" s="123" t="str">
        <f>VLOOKUP(D70,Poeng!$B$10:$BG$251,Poeng!BG$1,FALSE)</f>
        <v>Very Good</v>
      </c>
      <c r="Q70" s="755"/>
      <c r="R70" s="756"/>
      <c r="S70" s="749"/>
      <c r="T70" s="319"/>
      <c r="U70" s="83"/>
      <c r="V70" s="123">
        <f>VLOOKUP(D70,Poeng!$B$10:$BB$251,Poeng!AF$1,FALSE)</f>
        <v>0</v>
      </c>
      <c r="W70" s="123" t="str">
        <f>VLOOKUP(D70,Poeng!$B$10:$BJ$251,Poeng!BJ$1,FALSE)</f>
        <v>Very Good</v>
      </c>
      <c r="X70" s="81"/>
      <c r="Y70" s="80"/>
      <c r="Z70" s="749"/>
      <c r="AC70" s="107">
        <f t="shared" si="0"/>
        <v>1</v>
      </c>
      <c r="AD70" s="3" t="e">
        <f>VLOOKUP(K70,'Assessment Details'!$O$45:$P$48,2,FALSE)</f>
        <v>#N/A</v>
      </c>
      <c r="AE70" s="3" t="e">
        <f>VLOOKUP(R70,'Assessment Details'!$O$45:$P$48,2,FALSE)</f>
        <v>#N/A</v>
      </c>
      <c r="AF70" s="3" t="e">
        <f>VLOOKUP(Y70,'Assessment Details'!$O$45:$P$48,2,FALSE)</f>
        <v>#N/A</v>
      </c>
    </row>
    <row r="71" spans="1:52" x14ac:dyDescent="0.25">
      <c r="A71" s="1091">
        <v>62</v>
      </c>
      <c r="B71" s="1092" t="s">
        <v>68</v>
      </c>
      <c r="C71" s="1097" t="str">
        <f t="shared" si="6"/>
        <v>Ene 01</v>
      </c>
      <c r="D71" s="19" t="s">
        <v>753</v>
      </c>
      <c r="E71" s="875" t="str">
        <f>VLOOKUP(D71,Poeng!$B$10:$Q$251,Poeng!D$1,FALSE)</f>
        <v xml:space="preserve">Prediction of operational energy consumption </v>
      </c>
      <c r="F71" s="122">
        <f>VLOOKUP(D71,Poeng!$B$10:$AA$251,Poeng!AA$1,FALSE)</f>
        <v>4</v>
      </c>
      <c r="G71" s="43"/>
      <c r="H71" s="123">
        <f>VLOOKUP(D71,Poeng!$B$10:$AD$251,Poeng!AD$1,FALSE)</f>
        <v>0</v>
      </c>
      <c r="I71" s="124" t="str">
        <f>VLOOKUP(D71,Poeng!$B$10:$BD$251,Poeng!BD$1,FALSE)</f>
        <v>N/A</v>
      </c>
      <c r="J71" s="80"/>
      <c r="K71" s="281"/>
      <c r="L71" s="809"/>
      <c r="M71" s="829"/>
      <c r="N71" s="83"/>
      <c r="O71" s="123">
        <f>VLOOKUP(D71,Poeng!$B$10:$BB$251,Poeng!AE$1,FALSE)</f>
        <v>0</v>
      </c>
      <c r="P71" s="123" t="str">
        <f>VLOOKUP(D71,Poeng!$B$10:$BG$251,Poeng!BG$1,FALSE)</f>
        <v>N/A</v>
      </c>
      <c r="Q71" s="755"/>
      <c r="R71" s="756"/>
      <c r="S71" s="749"/>
      <c r="T71" s="319"/>
      <c r="U71" s="83"/>
      <c r="V71" s="123">
        <f>VLOOKUP(D71,Poeng!$B$10:$BB$251,Poeng!AF$1,FALSE)</f>
        <v>0</v>
      </c>
      <c r="W71" s="123" t="str">
        <f>VLOOKUP(D71,Poeng!$B$10:$BJ$251,Poeng!BJ$1,FALSE)</f>
        <v>N/A</v>
      </c>
      <c r="X71" s="81"/>
      <c r="Y71" s="80"/>
      <c r="Z71" s="749"/>
      <c r="AC71" s="107">
        <f t="shared" si="0"/>
        <v>1</v>
      </c>
      <c r="AD71" s="3" t="e">
        <f>VLOOKUP(K71,'Assessment Details'!$O$45:$P$48,2,FALSE)</f>
        <v>#N/A</v>
      </c>
      <c r="AE71" s="3" t="e">
        <f>VLOOKUP(R71,'Assessment Details'!$O$45:$P$48,2,FALSE)</f>
        <v>#N/A</v>
      </c>
      <c r="AF71" s="3" t="e">
        <f>VLOOKUP(Y71,'Assessment Details'!$O$45:$P$48,2,FALSE)</f>
        <v>#N/A</v>
      </c>
    </row>
    <row r="72" spans="1:52" x14ac:dyDescent="0.25">
      <c r="A72" s="1091">
        <v>63</v>
      </c>
      <c r="B72" s="1092" t="s">
        <v>68</v>
      </c>
      <c r="C72" s="938" t="s">
        <v>138</v>
      </c>
      <c r="D72" s="837" t="s">
        <v>138</v>
      </c>
      <c r="E72" s="874" t="str">
        <f>VLOOKUP(D72,Poeng!$B$10:$Q$251,Poeng!D$1,FALSE)</f>
        <v>Ene 02 Energy monitoring</v>
      </c>
      <c r="F72" s="879">
        <f>VLOOKUP(D72,Poeng!$B$10:$AA$251,Poeng!AA$1,FALSE)</f>
        <v>2</v>
      </c>
      <c r="G72" s="1015"/>
      <c r="H72" s="880" t="str">
        <f>VLOOKUP(D72,Poeng!$B$10:$AH$251,Poeng!AH$1,FALSE)&amp;" c. "&amp;ROUND(VLOOKUP(D72,Poeng!$B$10:$AD$251,Poeng!AD$1,FALSE)*100,1)&amp;" %"</f>
        <v>0 c. 0 %</v>
      </c>
      <c r="I72" s="938" t="str">
        <f>VLOOKUP(D72,Poeng!$B$10:$BD$251,Poeng!BD$1,FALSE)</f>
        <v>N/A</v>
      </c>
      <c r="J72" s="80"/>
      <c r="K72" s="281"/>
      <c r="L72" s="809"/>
      <c r="M72" s="829"/>
      <c r="N72" s="1015"/>
      <c r="O72" s="891" t="str">
        <f>VLOOKUP(D72,Poeng!$B$10:$BB$251,Poeng!AI$1,FALSE)&amp;" c. "&amp;ROUND(VLOOKUP(D72,Poeng!$B$10:$BB$251,Poeng!AE$1,FALSE)*100,1)&amp;" %"</f>
        <v>0 c. 0 %</v>
      </c>
      <c r="P72" s="123" t="str">
        <f>VLOOKUP(D72,Poeng!$B$10:$BG$251,Poeng!BG$1,FALSE)</f>
        <v>N/A</v>
      </c>
      <c r="Q72" s="755"/>
      <c r="R72" s="756"/>
      <c r="S72" s="749"/>
      <c r="T72" s="319"/>
      <c r="U72" s="1015"/>
      <c r="V72" s="891" t="str">
        <f>VLOOKUP(D72,Poeng!$B$10:$BB$251,Poeng!AJ$1,FALSE)&amp;" c. "&amp;ROUND(VLOOKUP(D72,Poeng!$B$10:$BB$251,Poeng!AF$1,FALSE)*100,1)&amp;" %"</f>
        <v>0 c. 0 %</v>
      </c>
      <c r="W72" s="123" t="str">
        <f>VLOOKUP(D72,Poeng!$B$10:$BJ$251,Poeng!BJ$1,FALSE)</f>
        <v>N/A</v>
      </c>
      <c r="X72" s="81"/>
      <c r="Y72" s="80"/>
      <c r="Z72" s="749"/>
      <c r="AA72" s="133"/>
      <c r="AB72" s="692" t="s">
        <v>455</v>
      </c>
      <c r="AC72" s="107">
        <f t="shared" si="0"/>
        <v>1</v>
      </c>
      <c r="AD72" s="3" t="e">
        <f>VLOOKUP(K72,'Assessment Details'!$O$45:$P$48,2,FALSE)</f>
        <v>#N/A</v>
      </c>
      <c r="AE72" s="3" t="e">
        <f>VLOOKUP(R72,'Assessment Details'!$O$45:$P$48,2,FALSE)</f>
        <v>#N/A</v>
      </c>
      <c r="AF72" s="3" t="e">
        <f>VLOOKUP(Y72,'Assessment Details'!$O$45:$P$48,2,FALSE)</f>
        <v>#N/A</v>
      </c>
      <c r="AI72" s="70" t="str">
        <f>ais_yes</f>
        <v>Ja</v>
      </c>
      <c r="AJ72" s="679" t="s">
        <v>136</v>
      </c>
      <c r="AK72" s="661" t="s">
        <v>453</v>
      </c>
      <c r="AL72" s="661" t="s">
        <v>454</v>
      </c>
      <c r="AM72" s="661" t="s">
        <v>455</v>
      </c>
      <c r="AN72" s="661" t="s">
        <v>456</v>
      </c>
      <c r="AO72" s="661" t="s">
        <v>441</v>
      </c>
      <c r="AP72" s="70"/>
      <c r="AR72" s="1" t="str">
        <f>IF($AJ$8=ais_no,AIS_NA,"No")</f>
        <v>No</v>
      </c>
      <c r="AS72" s="23" t="str">
        <f t="shared" ref="AS72:AX72" si="10">IF(OR($AJ$4=ais_no,$AJ$8=ais_no),AIS_NA,IF(AK72="",AIS_NA,AK72))</f>
        <v>N/A</v>
      </c>
      <c r="AT72" s="23" t="str">
        <f t="shared" si="10"/>
        <v>N/A</v>
      </c>
      <c r="AU72" s="23" t="str">
        <f t="shared" si="10"/>
        <v>N/A</v>
      </c>
      <c r="AV72" s="23" t="str">
        <f t="shared" si="10"/>
        <v>N/A</v>
      </c>
      <c r="AW72" s="23" t="str">
        <f t="shared" si="10"/>
        <v>N/A</v>
      </c>
      <c r="AX72" s="23" t="str">
        <f t="shared" si="10"/>
        <v>N/A</v>
      </c>
      <c r="AY72" s="1" t="s">
        <v>13</v>
      </c>
      <c r="AZ72" s="648"/>
    </row>
    <row r="73" spans="1:52" x14ac:dyDescent="0.25">
      <c r="A73" s="1091">
        <v>64</v>
      </c>
      <c r="B73" s="1092" t="s">
        <v>68</v>
      </c>
      <c r="C73" s="1097" t="str">
        <f t="shared" si="6"/>
        <v>Ene 02</v>
      </c>
      <c r="D73" s="837" t="s">
        <v>255</v>
      </c>
      <c r="E73" s="875" t="str">
        <f>VLOOKUP(D73,Poeng!$B$10:$Q$251,Poeng!D$1,FALSE)</f>
        <v xml:space="preserve">Sub-metering of end-use categories </v>
      </c>
      <c r="F73" s="122">
        <f>VLOOKUP(D73,Poeng!$B$10:$AA$251,Poeng!AA$1,FALSE)</f>
        <v>1</v>
      </c>
      <c r="G73" s="43"/>
      <c r="H73" s="123">
        <f>VLOOKUP(D73,Poeng!$B$10:$AD$251,Poeng!AD$1,FALSE)</f>
        <v>0</v>
      </c>
      <c r="I73" s="124" t="str">
        <f>VLOOKUP(D73,Poeng!$B$10:$BD$251,Poeng!BD$1,FALSE)</f>
        <v>N/A</v>
      </c>
      <c r="J73" s="80"/>
      <c r="K73" s="281"/>
      <c r="L73" s="809"/>
      <c r="M73" s="829"/>
      <c r="N73" s="83"/>
      <c r="O73" s="123">
        <f>VLOOKUP(D73,Poeng!$B$10:$BB$251,Poeng!AE$1,FALSE)</f>
        <v>0</v>
      </c>
      <c r="P73" s="123" t="str">
        <f>VLOOKUP(D73,Poeng!$B$10:$BG$251,Poeng!BG$1,FALSE)</f>
        <v>N/A</v>
      </c>
      <c r="Q73" s="755"/>
      <c r="R73" s="756"/>
      <c r="S73" s="749"/>
      <c r="T73" s="319"/>
      <c r="U73" s="83"/>
      <c r="V73" s="123">
        <f>VLOOKUP(D73,Poeng!$B$10:$BB$251,Poeng!AF$1,FALSE)</f>
        <v>0</v>
      </c>
      <c r="W73" s="123" t="str">
        <f>VLOOKUP(D73,Poeng!$B$10:$BJ$251,Poeng!BJ$1,FALSE)</f>
        <v>N/A</v>
      </c>
      <c r="X73" s="81"/>
      <c r="Y73" s="80"/>
      <c r="Z73" s="749"/>
      <c r="AA73" s="133"/>
      <c r="AB73" s="692"/>
      <c r="AC73" s="107">
        <f t="shared" si="0"/>
        <v>1</v>
      </c>
      <c r="AD73" s="3" t="e">
        <f>VLOOKUP(K73,'Assessment Details'!$O$45:$P$48,2,FALSE)</f>
        <v>#N/A</v>
      </c>
      <c r="AE73" s="3" t="e">
        <f>VLOOKUP(R73,'Assessment Details'!$O$45:$P$48,2,FALSE)</f>
        <v>#N/A</v>
      </c>
      <c r="AF73" s="3" t="e">
        <f>VLOOKUP(Y73,'Assessment Details'!$O$45:$P$48,2,FALSE)</f>
        <v>#N/A</v>
      </c>
      <c r="AI73" s="70"/>
      <c r="AJ73" s="679"/>
      <c r="AK73" s="661"/>
      <c r="AL73" s="661"/>
      <c r="AM73" s="661"/>
      <c r="AN73" s="661"/>
      <c r="AO73" s="661"/>
      <c r="AP73" s="70"/>
      <c r="AS73" s="23"/>
      <c r="AT73" s="23"/>
      <c r="AU73" s="23"/>
      <c r="AV73" s="23"/>
      <c r="AW73" s="23"/>
      <c r="AX73" s="23"/>
      <c r="AZ73" s="648"/>
    </row>
    <row r="74" spans="1:52" x14ac:dyDescent="0.25">
      <c r="A74" s="1091">
        <v>65</v>
      </c>
      <c r="B74" s="1092" t="s">
        <v>68</v>
      </c>
      <c r="C74" s="1097" t="str">
        <f t="shared" si="6"/>
        <v>Ene 02</v>
      </c>
      <c r="D74" s="837" t="s">
        <v>357</v>
      </c>
      <c r="E74" s="875" t="str">
        <f>VLOOKUP(D74,Poeng!$B$10:$Q$251,Poeng!D$1,FALSE)</f>
        <v xml:space="preserve">Sub-metering of high energy load and tenancy areas </v>
      </c>
      <c r="F74" s="122">
        <f>VLOOKUP(D74,Poeng!$B$10:$AA$251,Poeng!AA$1,FALSE)</f>
        <v>1</v>
      </c>
      <c r="G74" s="43"/>
      <c r="H74" s="123">
        <f>VLOOKUP(D74,Poeng!$B$10:$AD$251,Poeng!AD$1,FALSE)</f>
        <v>0</v>
      </c>
      <c r="I74" s="124" t="str">
        <f>VLOOKUP(D74,Poeng!$B$10:$BD$251,Poeng!BD$1,FALSE)</f>
        <v>N/A</v>
      </c>
      <c r="J74" s="80"/>
      <c r="K74" s="281"/>
      <c r="L74" s="809"/>
      <c r="M74" s="829"/>
      <c r="N74" s="83"/>
      <c r="O74" s="123">
        <f>VLOOKUP(D74,Poeng!$B$10:$BB$251,Poeng!AE$1,FALSE)</f>
        <v>0</v>
      </c>
      <c r="P74" s="123" t="str">
        <f>VLOOKUP(D74,Poeng!$B$10:$BG$251,Poeng!BG$1,FALSE)</f>
        <v>N/A</v>
      </c>
      <c r="Q74" s="755"/>
      <c r="R74" s="756"/>
      <c r="S74" s="749"/>
      <c r="T74" s="319"/>
      <c r="U74" s="83"/>
      <c r="V74" s="123">
        <f>VLOOKUP(D74,Poeng!$B$10:$BB$251,Poeng!AF$1,FALSE)</f>
        <v>0</v>
      </c>
      <c r="W74" s="123" t="str">
        <f>VLOOKUP(D74,Poeng!$B$10:$BJ$251,Poeng!BJ$1,FALSE)</f>
        <v>N/A</v>
      </c>
      <c r="X74" s="81"/>
      <c r="Y74" s="80"/>
      <c r="Z74" s="749"/>
      <c r="AA74" s="133"/>
      <c r="AB74" s="692"/>
      <c r="AC74" s="107">
        <f t="shared" si="0"/>
        <v>1</v>
      </c>
      <c r="AD74" s="3" t="e">
        <f>VLOOKUP(K74,'Assessment Details'!$O$45:$P$48,2,FALSE)</f>
        <v>#N/A</v>
      </c>
      <c r="AE74" s="3" t="e">
        <f>VLOOKUP(R74,'Assessment Details'!$O$45:$P$48,2,FALSE)</f>
        <v>#N/A</v>
      </c>
      <c r="AF74" s="3" t="e">
        <f>VLOOKUP(Y74,'Assessment Details'!$O$45:$P$48,2,FALSE)</f>
        <v>#N/A</v>
      </c>
      <c r="AI74" s="70"/>
      <c r="AJ74" s="679"/>
      <c r="AK74" s="661"/>
      <c r="AL74" s="661"/>
      <c r="AM74" s="661"/>
      <c r="AN74" s="661"/>
      <c r="AO74" s="661"/>
      <c r="AP74" s="70"/>
      <c r="AS74" s="23"/>
      <c r="AT74" s="23"/>
      <c r="AU74" s="23"/>
      <c r="AV74" s="23"/>
      <c r="AW74" s="23"/>
      <c r="AX74" s="23"/>
      <c r="AZ74" s="648"/>
    </row>
    <row r="75" spans="1:52" x14ac:dyDescent="0.25">
      <c r="A75" s="1091">
        <v>66</v>
      </c>
      <c r="B75" s="1092" t="s">
        <v>68</v>
      </c>
      <c r="C75" s="1097" t="str">
        <f t="shared" si="6"/>
        <v>Ene 02</v>
      </c>
      <c r="D75" s="837" t="s">
        <v>754</v>
      </c>
      <c r="E75" s="875" t="str">
        <f>VLOOKUP(D75,Poeng!$B$10:$Q$251,Poeng!D$1,FALSE)</f>
        <v xml:space="preserve">Sub-metering of energy consumption in residential buildings </v>
      </c>
      <c r="F75" s="122">
        <f>VLOOKUP(D75,Poeng!$B$10:$AA$251,Poeng!AA$1,FALSE)</f>
        <v>0</v>
      </c>
      <c r="G75" s="43"/>
      <c r="H75" s="123">
        <f>VLOOKUP(D75,Poeng!$B$10:$AD$251,Poeng!AD$1,FALSE)</f>
        <v>0</v>
      </c>
      <c r="I75" s="124" t="str">
        <f>VLOOKUP(D75,Poeng!$B$10:$BD$251,Poeng!BD$1,FALSE)</f>
        <v>N/A</v>
      </c>
      <c r="J75" s="80"/>
      <c r="K75" s="281"/>
      <c r="L75" s="809"/>
      <c r="M75" s="829"/>
      <c r="N75" s="83"/>
      <c r="O75" s="123">
        <f>VLOOKUP(D75,Poeng!$B$10:$BB$251,Poeng!AE$1,FALSE)</f>
        <v>0</v>
      </c>
      <c r="P75" s="123" t="str">
        <f>VLOOKUP(D75,Poeng!$B$10:$BG$251,Poeng!BG$1,FALSE)</f>
        <v>N/A</v>
      </c>
      <c r="Q75" s="755"/>
      <c r="R75" s="756"/>
      <c r="S75" s="749"/>
      <c r="T75" s="319"/>
      <c r="U75" s="83"/>
      <c r="V75" s="123">
        <f>VLOOKUP(D75,Poeng!$B$10:$BB$251,Poeng!AF$1,FALSE)</f>
        <v>0</v>
      </c>
      <c r="W75" s="123" t="str">
        <f>VLOOKUP(D75,Poeng!$B$10:$BJ$251,Poeng!BJ$1,FALSE)</f>
        <v>N/A</v>
      </c>
      <c r="X75" s="81"/>
      <c r="Y75" s="80"/>
      <c r="Z75" s="749"/>
      <c r="AA75" s="133"/>
      <c r="AB75" s="692"/>
      <c r="AC75" s="107">
        <f t="shared" si="0"/>
        <v>2</v>
      </c>
      <c r="AD75" s="3" t="e">
        <f>VLOOKUP(K75,'Assessment Details'!$O$45:$P$48,2,FALSE)</f>
        <v>#N/A</v>
      </c>
      <c r="AE75" s="3" t="e">
        <f>VLOOKUP(R75,'Assessment Details'!$O$45:$P$48,2,FALSE)</f>
        <v>#N/A</v>
      </c>
      <c r="AF75" s="3" t="e">
        <f>VLOOKUP(Y75,'Assessment Details'!$O$45:$P$48,2,FALSE)</f>
        <v>#N/A</v>
      </c>
      <c r="AI75" s="70"/>
      <c r="AJ75" s="679"/>
      <c r="AK75" s="661"/>
      <c r="AL75" s="661"/>
      <c r="AM75" s="661"/>
      <c r="AN75" s="661"/>
      <c r="AO75" s="661"/>
      <c r="AP75" s="70"/>
      <c r="AS75" s="23"/>
      <c r="AT75" s="23"/>
      <c r="AU75" s="23"/>
      <c r="AV75" s="23"/>
      <c r="AW75" s="23"/>
      <c r="AX75" s="23"/>
      <c r="AZ75" s="648"/>
    </row>
    <row r="76" spans="1:52" x14ac:dyDescent="0.25">
      <c r="A76" s="1091">
        <v>67</v>
      </c>
      <c r="B76" s="1092" t="s">
        <v>68</v>
      </c>
      <c r="C76" s="938" t="s">
        <v>139</v>
      </c>
      <c r="D76" s="837" t="s">
        <v>139</v>
      </c>
      <c r="E76" s="874" t="str">
        <f>VLOOKUP(D76,Poeng!$B$10:$Q$251,Poeng!D$1,FALSE)</f>
        <v>Ene 03 External lighting</v>
      </c>
      <c r="F76" s="879">
        <f>VLOOKUP(D76,Poeng!$B$10:$AA$251,Poeng!AA$1,FALSE)</f>
        <v>1</v>
      </c>
      <c r="G76" s="1015"/>
      <c r="H76" s="880" t="str">
        <f>VLOOKUP(D76,Poeng!$B$10:$AH$251,Poeng!AH$1,FALSE)&amp;" c. "&amp;ROUND(VLOOKUP(D76,Poeng!$B$10:$AD$251,Poeng!AD$1,FALSE)*100,1)&amp;" %"</f>
        <v>0 c. 0 %</v>
      </c>
      <c r="I76" s="938" t="str">
        <f>VLOOKUP(D76,Poeng!$B$10:$BD$251,Poeng!BD$1,FALSE)</f>
        <v>N/A</v>
      </c>
      <c r="J76" s="80"/>
      <c r="K76" s="281"/>
      <c r="L76" s="809"/>
      <c r="M76" s="829"/>
      <c r="N76" s="1015"/>
      <c r="O76" s="891" t="str">
        <f>VLOOKUP(D76,Poeng!$B$10:$BB$251,Poeng!AI$1,FALSE)&amp;" c. "&amp;ROUND(VLOOKUP(D76,Poeng!$B$10:$BB$251,Poeng!AE$1,FALSE)*100,1)&amp;" %"</f>
        <v>0 c. 0 %</v>
      </c>
      <c r="P76" s="123" t="str">
        <f>VLOOKUP(D76,Poeng!$B$10:$BG$251,Poeng!BG$1,FALSE)</f>
        <v>N/A</v>
      </c>
      <c r="Q76" s="755"/>
      <c r="R76" s="756"/>
      <c r="S76" s="749"/>
      <c r="T76" s="319"/>
      <c r="U76" s="1015"/>
      <c r="V76" s="891" t="str">
        <f>VLOOKUP(D76,Poeng!$B$10:$BB$251,Poeng!AJ$1,FALSE)&amp;" c. "&amp;ROUND(VLOOKUP(D76,Poeng!$B$10:$BB$251,Poeng!AF$1,FALSE)*100,1)&amp;" %"</f>
        <v>0 c. 0 %</v>
      </c>
      <c r="W76" s="123" t="str">
        <f>VLOOKUP(D76,Poeng!$B$10:$BJ$251,Poeng!BJ$1,FALSE)</f>
        <v>N/A</v>
      </c>
      <c r="X76" s="81"/>
      <c r="Y76" s="80"/>
      <c r="Z76" s="749"/>
      <c r="AA76" s="133"/>
      <c r="AB76" s="648" t="s">
        <v>14</v>
      </c>
      <c r="AC76" s="107">
        <f t="shared" ref="AC76:AC141" si="11">IF(F76="",1,IF(F76=0,2,1))</f>
        <v>1</v>
      </c>
      <c r="AD76" s="3" t="e">
        <f>VLOOKUP(K76,'Assessment Details'!$O$45:$P$48,2,FALSE)</f>
        <v>#N/A</v>
      </c>
      <c r="AE76" s="3" t="e">
        <f>VLOOKUP(R76,'Assessment Details'!$O$45:$P$48,2,FALSE)</f>
        <v>#N/A</v>
      </c>
      <c r="AF76" s="3" t="e">
        <f>VLOOKUP(Y76,'Assessment Details'!$O$45:$P$48,2,FALSE)</f>
        <v>#N/A</v>
      </c>
      <c r="AI76" s="70" t="str">
        <f>ais_yes</f>
        <v>Ja</v>
      </c>
      <c r="AJ76" s="679" t="s">
        <v>131</v>
      </c>
      <c r="AK76" s="656" t="s">
        <v>408</v>
      </c>
      <c r="AL76" s="656" t="s">
        <v>412</v>
      </c>
      <c r="AM76" s="656" t="s">
        <v>410</v>
      </c>
      <c r="AN76" s="70"/>
      <c r="AO76" s="70"/>
      <c r="AP76" s="70"/>
      <c r="AR76" s="1" t="s">
        <v>14</v>
      </c>
      <c r="AS76" s="23" t="str">
        <f t="shared" si="3"/>
        <v>N/A</v>
      </c>
      <c r="AT76" s="23" t="str">
        <f t="shared" si="1"/>
        <v>N/A</v>
      </c>
      <c r="AU76" s="23" t="str">
        <f t="shared" si="2"/>
        <v>N/A</v>
      </c>
      <c r="AV76" s="23"/>
      <c r="AW76" s="23"/>
      <c r="AX76" s="23"/>
      <c r="AZ76" s="648"/>
    </row>
    <row r="77" spans="1:52" x14ac:dyDescent="0.25">
      <c r="A77" s="1091">
        <v>68</v>
      </c>
      <c r="B77" s="1092" t="s">
        <v>68</v>
      </c>
      <c r="C77" s="1097" t="str">
        <f t="shared" si="6"/>
        <v>Ene 03</v>
      </c>
      <c r="D77" s="837" t="s">
        <v>755</v>
      </c>
      <c r="E77" s="875" t="str">
        <f>VLOOKUP(D77,Poeng!$B$10:$Q$251,Poeng!D$1,FALSE)</f>
        <v>No external lighting within the construction zone</v>
      </c>
      <c r="F77" s="122">
        <f>VLOOKUP(D77,Poeng!$B$10:$AA$251,Poeng!AA$1,FALSE)</f>
        <v>1</v>
      </c>
      <c r="G77" s="43"/>
      <c r="H77" s="123">
        <f>VLOOKUP(D77,Poeng!$B$10:$AD$251,Poeng!AD$1,FALSE)</f>
        <v>0</v>
      </c>
      <c r="I77" s="124" t="str">
        <f>VLOOKUP(D77,Poeng!$B$10:$BD$251,Poeng!BD$1,FALSE)</f>
        <v>N/A</v>
      </c>
      <c r="J77" s="80"/>
      <c r="K77" s="281"/>
      <c r="L77" s="809"/>
      <c r="M77" s="829"/>
      <c r="N77" s="83"/>
      <c r="O77" s="123">
        <f>VLOOKUP(D77,Poeng!$B$10:$BB$251,Poeng!AE$1,FALSE)</f>
        <v>0</v>
      </c>
      <c r="P77" s="123" t="str">
        <f>VLOOKUP(D77,Poeng!$B$10:$BG$251,Poeng!BG$1,FALSE)</f>
        <v>N/A</v>
      </c>
      <c r="Q77" s="755"/>
      <c r="R77" s="756"/>
      <c r="S77" s="749"/>
      <c r="T77" s="319"/>
      <c r="U77" s="83"/>
      <c r="V77" s="123">
        <f>VLOOKUP(D77,Poeng!$B$10:$BB$251,Poeng!AF$1,FALSE)</f>
        <v>0</v>
      </c>
      <c r="W77" s="123" t="str">
        <f>VLOOKUP(D77,Poeng!$B$10:$BJ$251,Poeng!BJ$1,FALSE)</f>
        <v>N/A</v>
      </c>
      <c r="X77" s="81"/>
      <c r="Y77" s="80"/>
      <c r="Z77" s="749"/>
      <c r="AA77" s="133"/>
      <c r="AB77" s="648"/>
      <c r="AC77" s="107">
        <f t="shared" si="11"/>
        <v>1</v>
      </c>
      <c r="AD77" s="3" t="e">
        <f>VLOOKUP(K77,'Assessment Details'!$O$45:$P$48,2,FALSE)</f>
        <v>#N/A</v>
      </c>
      <c r="AE77" s="3" t="e">
        <f>VLOOKUP(R77,'Assessment Details'!$O$45:$P$48,2,FALSE)</f>
        <v>#N/A</v>
      </c>
      <c r="AF77" s="3" t="e">
        <f>VLOOKUP(Y77,'Assessment Details'!$O$45:$P$48,2,FALSE)</f>
        <v>#N/A</v>
      </c>
      <c r="AI77" s="70"/>
      <c r="AJ77" s="679"/>
      <c r="AK77" s="656"/>
      <c r="AL77" s="656"/>
      <c r="AM77" s="656"/>
      <c r="AN77" s="70"/>
      <c r="AO77" s="70"/>
      <c r="AP77" s="70"/>
      <c r="AS77" s="23"/>
      <c r="AT77" s="23"/>
      <c r="AU77" s="23"/>
      <c r="AV77" s="23"/>
      <c r="AW77" s="23"/>
      <c r="AX77" s="23"/>
      <c r="AZ77" s="648"/>
    </row>
    <row r="78" spans="1:52" x14ac:dyDescent="0.25">
      <c r="A78" s="1091">
        <v>69</v>
      </c>
      <c r="B78" s="1092" t="s">
        <v>68</v>
      </c>
      <c r="C78" s="1097" t="str">
        <f t="shared" si="6"/>
        <v>Ene 03</v>
      </c>
      <c r="D78" s="837" t="s">
        <v>756</v>
      </c>
      <c r="E78" s="875" t="str">
        <f>VLOOKUP(D78,Poeng!$B$10:$Q$251,Poeng!D$1,FALSE)</f>
        <v>External lighting within the construction zone</v>
      </c>
      <c r="F78" s="122">
        <f>VLOOKUP(D78,Poeng!$B$10:$AA$251,Poeng!AA$1,FALSE)</f>
        <v>0</v>
      </c>
      <c r="G78" s="43"/>
      <c r="H78" s="123">
        <f>VLOOKUP(D78,Poeng!$B$10:$AD$251,Poeng!AD$1,FALSE)</f>
        <v>0</v>
      </c>
      <c r="I78" s="124" t="str">
        <f>VLOOKUP(D78,Poeng!$B$10:$BD$251,Poeng!BD$1,FALSE)</f>
        <v>N/A</v>
      </c>
      <c r="J78" s="80"/>
      <c r="K78" s="281"/>
      <c r="L78" s="809"/>
      <c r="M78" s="829"/>
      <c r="N78" s="83"/>
      <c r="O78" s="123">
        <f>VLOOKUP(D78,Poeng!$B$10:$BB$251,Poeng!AE$1,FALSE)</f>
        <v>0</v>
      </c>
      <c r="P78" s="123" t="str">
        <f>VLOOKUP(D78,Poeng!$B$10:$BG$251,Poeng!BG$1,FALSE)</f>
        <v>N/A</v>
      </c>
      <c r="Q78" s="755"/>
      <c r="R78" s="756"/>
      <c r="S78" s="749"/>
      <c r="T78" s="319"/>
      <c r="U78" s="83"/>
      <c r="V78" s="123">
        <f>VLOOKUP(D78,Poeng!$B$10:$BB$251,Poeng!AF$1,FALSE)</f>
        <v>0</v>
      </c>
      <c r="W78" s="123" t="str">
        <f>VLOOKUP(D78,Poeng!$B$10:$BJ$251,Poeng!BJ$1,FALSE)</f>
        <v>N/A</v>
      </c>
      <c r="X78" s="81"/>
      <c r="Y78" s="80"/>
      <c r="Z78" s="749"/>
      <c r="AA78" s="133"/>
      <c r="AB78" s="648"/>
      <c r="AC78" s="107">
        <f t="shared" si="11"/>
        <v>2</v>
      </c>
      <c r="AD78" s="3" t="e">
        <f>VLOOKUP(K78,'Assessment Details'!$O$45:$P$48,2,FALSE)</f>
        <v>#N/A</v>
      </c>
      <c r="AE78" s="3" t="e">
        <f>VLOOKUP(R78,'Assessment Details'!$O$45:$P$48,2,FALSE)</f>
        <v>#N/A</v>
      </c>
      <c r="AF78" s="3" t="e">
        <f>VLOOKUP(Y78,'Assessment Details'!$O$45:$P$48,2,FALSE)</f>
        <v>#N/A</v>
      </c>
      <c r="AI78" s="70"/>
      <c r="AJ78" s="679"/>
      <c r="AK78" s="656"/>
      <c r="AL78" s="656"/>
      <c r="AM78" s="656"/>
      <c r="AN78" s="70"/>
      <c r="AO78" s="70"/>
      <c r="AP78" s="70"/>
      <c r="AS78" s="23"/>
      <c r="AT78" s="23"/>
      <c r="AU78" s="23"/>
      <c r="AV78" s="23"/>
      <c r="AW78" s="23"/>
      <c r="AX78" s="23"/>
      <c r="AZ78" s="648"/>
    </row>
    <row r="79" spans="1:52" x14ac:dyDescent="0.25">
      <c r="A79" s="1091">
        <v>70</v>
      </c>
      <c r="B79" s="1092" t="s">
        <v>68</v>
      </c>
      <c r="C79" s="938" t="s">
        <v>141</v>
      </c>
      <c r="D79" s="837" t="s">
        <v>141</v>
      </c>
      <c r="E79" s="874" t="str">
        <f>VLOOKUP(D79,Poeng!$B$10:$Q$251,Poeng!D$1,FALSE)</f>
        <v>Ene 05 Energy efficient cold storage</v>
      </c>
      <c r="F79" s="879">
        <f>VLOOKUP(D79,Poeng!$B$10:$AA$251,Poeng!AA$1,FALSE)</f>
        <v>2</v>
      </c>
      <c r="G79" s="1015"/>
      <c r="H79" s="880" t="str">
        <f>VLOOKUP(D79,Poeng!$B$10:$AH$251,Poeng!AH$1,FALSE)&amp;" c. "&amp;ROUND(VLOOKUP(D79,Poeng!$B$10:$AD$251,Poeng!AD$1,FALSE)*100,1)&amp;" %"</f>
        <v>0 c. 0 %</v>
      </c>
      <c r="I79" s="938" t="str">
        <f>VLOOKUP(D79,Poeng!$B$10:$BD$251,Poeng!BD$1,FALSE)</f>
        <v>N/A</v>
      </c>
      <c r="J79" s="80"/>
      <c r="K79" s="281"/>
      <c r="L79" s="809"/>
      <c r="M79" s="829"/>
      <c r="N79" s="1015"/>
      <c r="O79" s="891" t="str">
        <f>VLOOKUP(D79,Poeng!$B$10:$BB$251,Poeng!AI$1,FALSE)&amp;" c. "&amp;ROUND(VLOOKUP(D79,Poeng!$B$10:$BB$251,Poeng!AE$1,FALSE)*100,1)&amp;" %"</f>
        <v>0 c. 0 %</v>
      </c>
      <c r="P79" s="123" t="str">
        <f>VLOOKUP(D79,Poeng!$B$10:$BG$251,Poeng!BG$1,FALSE)</f>
        <v>N/A</v>
      </c>
      <c r="Q79" s="755"/>
      <c r="R79" s="756"/>
      <c r="S79" s="749"/>
      <c r="T79" s="319"/>
      <c r="U79" s="1015"/>
      <c r="V79" s="891" t="str">
        <f>VLOOKUP(D79,Poeng!$B$10:$BB$251,Poeng!AJ$1,FALSE)&amp;" c. "&amp;ROUND(VLOOKUP(D79,Poeng!$B$10:$BB$251,Poeng!AF$1,FALSE)*100,1)&amp;" %"</f>
        <v>0 c. 0 %</v>
      </c>
      <c r="W79" s="123" t="str">
        <f>VLOOKUP(D79,Poeng!$B$10:$BJ$251,Poeng!BJ$1,FALSE)</f>
        <v>N/A</v>
      </c>
      <c r="X79" s="81"/>
      <c r="Y79" s="80"/>
      <c r="Z79" s="749"/>
      <c r="AA79" s="133"/>
      <c r="AB79" s="648" t="s">
        <v>14</v>
      </c>
      <c r="AC79" s="107">
        <f t="shared" si="11"/>
        <v>1</v>
      </c>
      <c r="AD79" s="3" t="e">
        <f>VLOOKUP(K79,'Assessment Details'!$O$45:$P$48,2,FALSE)</f>
        <v>#N/A</v>
      </c>
      <c r="AE79" s="3" t="e">
        <f>VLOOKUP(R79,'Assessment Details'!$O$45:$P$48,2,FALSE)</f>
        <v>#N/A</v>
      </c>
      <c r="AF79" s="3" t="e">
        <f>VLOOKUP(Y79,'Assessment Details'!$O$45:$P$48,2,FALSE)</f>
        <v>#N/A</v>
      </c>
      <c r="AI79" s="70" t="str">
        <f>ais_yes</f>
        <v>Ja</v>
      </c>
      <c r="AJ79" s="679" t="s">
        <v>132</v>
      </c>
      <c r="AK79" s="656" t="s">
        <v>408</v>
      </c>
      <c r="AL79" s="656" t="s">
        <v>412</v>
      </c>
      <c r="AM79" s="656" t="s">
        <v>410</v>
      </c>
      <c r="AN79" s="70"/>
      <c r="AO79" s="70"/>
      <c r="AP79" s="70"/>
      <c r="AR79" s="1" t="s">
        <v>14</v>
      </c>
      <c r="AS79" s="23" t="str">
        <f t="shared" si="3"/>
        <v>N/A</v>
      </c>
      <c r="AT79" s="23" t="str">
        <f t="shared" si="1"/>
        <v>N/A</v>
      </c>
      <c r="AU79" s="23" t="str">
        <f t="shared" si="2"/>
        <v>N/A</v>
      </c>
      <c r="AV79" s="23"/>
      <c r="AW79" s="23"/>
      <c r="AX79" s="23"/>
      <c r="AZ79" s="648"/>
    </row>
    <row r="80" spans="1:52" x14ac:dyDescent="0.25">
      <c r="A80" s="1091">
        <v>71</v>
      </c>
      <c r="B80" s="1092" t="s">
        <v>68</v>
      </c>
      <c r="C80" s="1097" t="str">
        <f t="shared" si="6"/>
        <v>Ene 05</v>
      </c>
      <c r="D80" s="837" t="s">
        <v>757</v>
      </c>
      <c r="E80" s="875" t="str">
        <f>VLOOKUP(D80,Poeng!$B$10:$Q$251,Poeng!D$1,FALSE)</f>
        <v xml:space="preserve">Design of energy efficient refrigeration- and freezing room </v>
      </c>
      <c r="F80" s="122">
        <f>VLOOKUP(D80,Poeng!$B$10:$AA$251,Poeng!AA$1,FALSE)</f>
        <v>1</v>
      </c>
      <c r="G80" s="43"/>
      <c r="H80" s="123">
        <f>VLOOKUP(D80,Poeng!$B$10:$AD$251,Poeng!AD$1,FALSE)</f>
        <v>0</v>
      </c>
      <c r="I80" s="124" t="str">
        <f>VLOOKUP(D80,Poeng!$B$10:$BD$251,Poeng!BD$1,FALSE)</f>
        <v>N/A</v>
      </c>
      <c r="J80" s="80"/>
      <c r="K80" s="281"/>
      <c r="L80" s="809"/>
      <c r="M80" s="829"/>
      <c r="N80" s="83"/>
      <c r="O80" s="123">
        <f>VLOOKUP(D80,Poeng!$B$10:$BB$251,Poeng!AE$1,FALSE)</f>
        <v>0</v>
      </c>
      <c r="P80" s="123" t="str">
        <f>VLOOKUP(D80,Poeng!$B$10:$BG$251,Poeng!BG$1,FALSE)</f>
        <v>N/A</v>
      </c>
      <c r="Q80" s="755"/>
      <c r="R80" s="756"/>
      <c r="S80" s="749"/>
      <c r="T80" s="319"/>
      <c r="U80" s="83"/>
      <c r="V80" s="123">
        <f>VLOOKUP(D80,Poeng!$B$10:$BB$251,Poeng!AF$1,FALSE)</f>
        <v>0</v>
      </c>
      <c r="W80" s="123" t="str">
        <f>VLOOKUP(D80,Poeng!$B$10:$BJ$251,Poeng!BJ$1,FALSE)</f>
        <v>N/A</v>
      </c>
      <c r="X80" s="81"/>
      <c r="Y80" s="80"/>
      <c r="Z80" s="749"/>
      <c r="AA80" s="133"/>
      <c r="AB80" s="648"/>
      <c r="AC80" s="107">
        <f t="shared" si="11"/>
        <v>1</v>
      </c>
      <c r="AD80" s="3" t="e">
        <f>VLOOKUP(K80,'Assessment Details'!$O$45:$P$48,2,FALSE)</f>
        <v>#N/A</v>
      </c>
      <c r="AE80" s="3" t="e">
        <f>VLOOKUP(R80,'Assessment Details'!$O$45:$P$48,2,FALSE)</f>
        <v>#N/A</v>
      </c>
      <c r="AF80" s="3" t="e">
        <f>VLOOKUP(Y80,'Assessment Details'!$O$45:$P$48,2,FALSE)</f>
        <v>#N/A</v>
      </c>
      <c r="AI80" s="70"/>
      <c r="AJ80" s="679"/>
      <c r="AK80" s="656"/>
      <c r="AL80" s="656"/>
      <c r="AM80" s="656"/>
      <c r="AN80" s="70"/>
      <c r="AO80" s="70"/>
      <c r="AP80" s="70"/>
      <c r="AS80" s="23"/>
      <c r="AT80" s="23"/>
      <c r="AU80" s="23"/>
      <c r="AV80" s="23"/>
      <c r="AW80" s="23"/>
      <c r="AX80" s="23"/>
      <c r="AZ80" s="648"/>
    </row>
    <row r="81" spans="1:52" x14ac:dyDescent="0.25">
      <c r="A81" s="1091">
        <v>72</v>
      </c>
      <c r="B81" s="1092" t="s">
        <v>68</v>
      </c>
      <c r="C81" s="1097" t="str">
        <f t="shared" si="6"/>
        <v>Ene 05</v>
      </c>
      <c r="D81" s="837" t="s">
        <v>758</v>
      </c>
      <c r="E81" s="875" t="str">
        <f>VLOOKUP(D81,Poeng!$B$10:$Q$251,Poeng!D$1,FALSE)</f>
        <v xml:space="preserve">Indirect greenhouse gas emissions </v>
      </c>
      <c r="F81" s="122">
        <f>VLOOKUP(D81,Poeng!$B$10:$AA$251,Poeng!AA$1,FALSE)</f>
        <v>1</v>
      </c>
      <c r="G81" s="43"/>
      <c r="H81" s="123">
        <f>VLOOKUP(D81,Poeng!$B$10:$AD$251,Poeng!AD$1,FALSE)</f>
        <v>0</v>
      </c>
      <c r="I81" s="124" t="str">
        <f>VLOOKUP(D81,Poeng!$B$10:$BD$251,Poeng!BD$1,FALSE)</f>
        <v>N/A</v>
      </c>
      <c r="J81" s="80"/>
      <c r="K81" s="281"/>
      <c r="L81" s="809"/>
      <c r="M81" s="829"/>
      <c r="N81" s="83"/>
      <c r="O81" s="123">
        <f>VLOOKUP(D81,Poeng!$B$10:$BB$251,Poeng!AE$1,FALSE)</f>
        <v>0</v>
      </c>
      <c r="P81" s="123" t="str">
        <f>VLOOKUP(D81,Poeng!$B$10:$BG$251,Poeng!BG$1,FALSE)</f>
        <v>N/A</v>
      </c>
      <c r="Q81" s="755"/>
      <c r="R81" s="756"/>
      <c r="S81" s="749"/>
      <c r="T81" s="319"/>
      <c r="U81" s="83"/>
      <c r="V81" s="123">
        <f>VLOOKUP(D81,Poeng!$B$10:$BB$251,Poeng!AF$1,FALSE)</f>
        <v>0</v>
      </c>
      <c r="W81" s="123" t="str">
        <f>VLOOKUP(D81,Poeng!$B$10:$BJ$251,Poeng!BJ$1,FALSE)</f>
        <v>N/A</v>
      </c>
      <c r="X81" s="81"/>
      <c r="Y81" s="80"/>
      <c r="Z81" s="749"/>
      <c r="AA81" s="133"/>
      <c r="AB81" s="648"/>
      <c r="AC81" s="107">
        <f t="shared" si="11"/>
        <v>1</v>
      </c>
      <c r="AD81" s="3" t="e">
        <f>VLOOKUP(K81,'Assessment Details'!$O$45:$P$48,2,FALSE)</f>
        <v>#N/A</v>
      </c>
      <c r="AE81" s="3" t="e">
        <f>VLOOKUP(R81,'Assessment Details'!$O$45:$P$48,2,FALSE)</f>
        <v>#N/A</v>
      </c>
      <c r="AF81" s="3" t="e">
        <f>VLOOKUP(Y81,'Assessment Details'!$O$45:$P$48,2,FALSE)</f>
        <v>#N/A</v>
      </c>
      <c r="AI81" s="70"/>
      <c r="AJ81" s="679"/>
      <c r="AK81" s="656"/>
      <c r="AL81" s="656"/>
      <c r="AM81" s="656"/>
      <c r="AN81" s="70"/>
      <c r="AO81" s="70"/>
      <c r="AP81" s="70"/>
      <c r="AS81" s="23"/>
      <c r="AT81" s="23"/>
      <c r="AU81" s="23"/>
      <c r="AV81" s="23"/>
      <c r="AW81" s="23"/>
      <c r="AX81" s="23"/>
      <c r="AZ81" s="648"/>
    </row>
    <row r="82" spans="1:52" x14ac:dyDescent="0.25">
      <c r="A82" s="1091">
        <v>73</v>
      </c>
      <c r="B82" s="1092" t="s">
        <v>68</v>
      </c>
      <c r="C82" s="938" t="s">
        <v>142</v>
      </c>
      <c r="D82" s="837" t="s">
        <v>142</v>
      </c>
      <c r="E82" s="874" t="str">
        <f>VLOOKUP(D82,Poeng!$B$10:$Q$251,Poeng!D$1,FALSE)</f>
        <v>Ene 06 Energy efficient transportation systems</v>
      </c>
      <c r="F82" s="879">
        <f>VLOOKUP(D82,Poeng!$B$10:$AA$251,Poeng!AA$1,FALSE)</f>
        <v>3</v>
      </c>
      <c r="G82" s="1015"/>
      <c r="H82" s="880" t="str">
        <f>VLOOKUP(D82,Poeng!$B$10:$AH$251,Poeng!AH$1,FALSE)&amp;" c. "&amp;ROUND(VLOOKUP(D82,Poeng!$B$10:$AD$251,Poeng!AD$1,FALSE)*100,1)&amp;" %"</f>
        <v>0 c. 0 %</v>
      </c>
      <c r="I82" s="938" t="str">
        <f>VLOOKUP(D82,Poeng!$B$10:$BD$251,Poeng!BD$1,FALSE)</f>
        <v>N/A</v>
      </c>
      <c r="J82" s="80"/>
      <c r="K82" s="281"/>
      <c r="L82" s="809"/>
      <c r="M82" s="829"/>
      <c r="N82" s="1015"/>
      <c r="O82" s="891" t="str">
        <f>VLOOKUP(D82,Poeng!$B$10:$BB$251,Poeng!AI$1,FALSE)&amp;" c. "&amp;ROUND(VLOOKUP(D82,Poeng!$B$10:$BB$251,Poeng!AE$1,FALSE)*100,1)&amp;" %"</f>
        <v>0 c. 0 %</v>
      </c>
      <c r="P82" s="123" t="str">
        <f>VLOOKUP(D82,Poeng!$B$10:$BG$251,Poeng!BG$1,FALSE)</f>
        <v>N/A</v>
      </c>
      <c r="Q82" s="755"/>
      <c r="R82" s="756"/>
      <c r="S82" s="749"/>
      <c r="T82" s="319"/>
      <c r="U82" s="1015"/>
      <c r="V82" s="891" t="str">
        <f>VLOOKUP(D82,Poeng!$B$10:$BB$251,Poeng!AJ$1,FALSE)&amp;" c. "&amp;ROUND(VLOOKUP(D82,Poeng!$B$10:$BB$251,Poeng!AF$1,FALSE)*100,1)&amp;" %"</f>
        <v>0 c. 0 %</v>
      </c>
      <c r="W82" s="123" t="str">
        <f>VLOOKUP(D82,Poeng!$B$10:$BJ$251,Poeng!BJ$1,FALSE)</f>
        <v>N/A</v>
      </c>
      <c r="X82" s="81"/>
      <c r="Y82" s="80"/>
      <c r="Z82" s="749"/>
      <c r="AA82" s="133"/>
      <c r="AB82" s="648" t="s">
        <v>14</v>
      </c>
      <c r="AC82" s="107">
        <f t="shared" si="11"/>
        <v>1</v>
      </c>
      <c r="AD82" s="3" t="e">
        <f>VLOOKUP(K82,'Assessment Details'!$O$45:$P$48,2,FALSE)</f>
        <v>#N/A</v>
      </c>
      <c r="AE82" s="3" t="e">
        <f>VLOOKUP(R82,'Assessment Details'!$O$45:$P$48,2,FALSE)</f>
        <v>#N/A</v>
      </c>
      <c r="AF82" s="3" t="e">
        <f>VLOOKUP(Y82,'Assessment Details'!$O$45:$P$48,2,FALSE)</f>
        <v>#N/A</v>
      </c>
      <c r="AI82" s="70"/>
      <c r="AJ82" s="679" t="s">
        <v>133</v>
      </c>
      <c r="AK82" s="656" t="s">
        <v>408</v>
      </c>
      <c r="AL82" s="656" t="s">
        <v>410</v>
      </c>
      <c r="AM82" s="70"/>
      <c r="AN82" s="70"/>
      <c r="AO82" s="70"/>
      <c r="AP82" s="70"/>
      <c r="AR82" s="1" t="s">
        <v>14</v>
      </c>
      <c r="AS82" s="23" t="str">
        <f t="shared" si="3"/>
        <v>N/A</v>
      </c>
      <c r="AT82" s="23" t="str">
        <f t="shared" si="1"/>
        <v>N/A</v>
      </c>
      <c r="AU82" s="23" t="str">
        <f t="shared" si="2"/>
        <v>N/A</v>
      </c>
      <c r="AV82" s="23"/>
      <c r="AW82" s="23"/>
      <c r="AX82" s="23"/>
      <c r="AZ82" s="648"/>
    </row>
    <row r="83" spans="1:52" x14ac:dyDescent="0.25">
      <c r="A83" s="1091">
        <v>74</v>
      </c>
      <c r="B83" s="1092" t="s">
        <v>68</v>
      </c>
      <c r="C83" s="1097" t="str">
        <f t="shared" si="6"/>
        <v>Ene 06</v>
      </c>
      <c r="D83" s="837" t="s">
        <v>759</v>
      </c>
      <c r="E83" s="875" t="str">
        <f>VLOOKUP(D83,Poeng!$B$10:$Q$251,Poeng!D$1,FALSE)</f>
        <v>Transport needs and usage patterns</v>
      </c>
      <c r="F83" s="122">
        <f>VLOOKUP(D83,Poeng!$B$10:$AA$251,Poeng!AA$1,FALSE)</f>
        <v>1</v>
      </c>
      <c r="G83" s="43"/>
      <c r="H83" s="123">
        <f>VLOOKUP(D83,Poeng!$B$10:$AD$251,Poeng!AD$1,FALSE)</f>
        <v>0</v>
      </c>
      <c r="I83" s="124" t="str">
        <f>VLOOKUP(D83,Poeng!$B$10:$BD$251,Poeng!BD$1,FALSE)</f>
        <v>N/A</v>
      </c>
      <c r="J83" s="80"/>
      <c r="K83" s="281"/>
      <c r="L83" s="809"/>
      <c r="M83" s="829"/>
      <c r="N83" s="83"/>
      <c r="O83" s="123">
        <f>VLOOKUP(D83,Poeng!$B$10:$BB$251,Poeng!AE$1,FALSE)</f>
        <v>0</v>
      </c>
      <c r="P83" s="123" t="str">
        <f>VLOOKUP(D83,Poeng!$B$10:$BG$251,Poeng!BG$1,FALSE)</f>
        <v>N/A</v>
      </c>
      <c r="Q83" s="755"/>
      <c r="R83" s="756"/>
      <c r="S83" s="749"/>
      <c r="T83" s="319"/>
      <c r="U83" s="83"/>
      <c r="V83" s="123">
        <f>VLOOKUP(D83,Poeng!$B$10:$BB$251,Poeng!AF$1,FALSE)</f>
        <v>0</v>
      </c>
      <c r="W83" s="123" t="str">
        <f>VLOOKUP(D83,Poeng!$B$10:$BJ$251,Poeng!BJ$1,FALSE)</f>
        <v>N/A</v>
      </c>
      <c r="X83" s="81"/>
      <c r="Y83" s="80"/>
      <c r="Z83" s="749"/>
      <c r="AA83" s="133"/>
      <c r="AB83" s="648"/>
      <c r="AC83" s="107">
        <f t="shared" si="11"/>
        <v>1</v>
      </c>
      <c r="AD83" s="3" t="e">
        <f>VLOOKUP(K83,'Assessment Details'!$O$45:$P$48,2,FALSE)</f>
        <v>#N/A</v>
      </c>
      <c r="AE83" s="3" t="e">
        <f>VLOOKUP(R83,'Assessment Details'!$O$45:$P$48,2,FALSE)</f>
        <v>#N/A</v>
      </c>
      <c r="AF83" s="3" t="e">
        <f>VLOOKUP(Y83,'Assessment Details'!$O$45:$P$48,2,FALSE)</f>
        <v>#N/A</v>
      </c>
      <c r="AI83" s="70"/>
      <c r="AJ83" s="679"/>
      <c r="AK83" s="656"/>
      <c r="AL83" s="656"/>
      <c r="AM83" s="70"/>
      <c r="AN83" s="70"/>
      <c r="AO83" s="70"/>
      <c r="AP83" s="70"/>
      <c r="AS83" s="23"/>
      <c r="AT83" s="23"/>
      <c r="AU83" s="23"/>
      <c r="AV83" s="23"/>
      <c r="AW83" s="23"/>
      <c r="AX83" s="23"/>
      <c r="AZ83" s="648"/>
    </row>
    <row r="84" spans="1:52" x14ac:dyDescent="0.25">
      <c r="A84" s="1091">
        <v>75</v>
      </c>
      <c r="B84" s="1092" t="s">
        <v>68</v>
      </c>
      <c r="C84" s="1097" t="str">
        <f>C82</f>
        <v>Ene 06</v>
      </c>
      <c r="D84" s="837" t="s">
        <v>760</v>
      </c>
      <c r="E84" s="875" t="str">
        <f>VLOOKUP(D84,Poeng!$B$10:$Q$251,Poeng!D$1,FALSE)</f>
        <v>Energy efficient features: lifts</v>
      </c>
      <c r="F84" s="122">
        <f>VLOOKUP(D84,Poeng!$B$10:$AA$251,Poeng!AA$1,FALSE)</f>
        <v>1</v>
      </c>
      <c r="G84" s="43"/>
      <c r="H84" s="123">
        <f>VLOOKUP(D84,Poeng!$B$10:$AD$251,Poeng!AD$1,FALSE)</f>
        <v>0</v>
      </c>
      <c r="I84" s="124" t="str">
        <f>VLOOKUP(D84,Poeng!$B$10:$BD$251,Poeng!BD$1,FALSE)</f>
        <v>N/A</v>
      </c>
      <c r="J84" s="80"/>
      <c r="K84" s="281"/>
      <c r="L84" s="809"/>
      <c r="M84" s="829"/>
      <c r="N84" s="83"/>
      <c r="O84" s="123">
        <f>VLOOKUP(D84,Poeng!$B$10:$BB$251,Poeng!AE$1,FALSE)</f>
        <v>0</v>
      </c>
      <c r="P84" s="123" t="str">
        <f>VLOOKUP(D84,Poeng!$B$10:$BG$251,Poeng!BG$1,FALSE)</f>
        <v>N/A</v>
      </c>
      <c r="Q84" s="755"/>
      <c r="R84" s="756"/>
      <c r="S84" s="749"/>
      <c r="T84" s="319"/>
      <c r="U84" s="83"/>
      <c r="V84" s="123">
        <f>VLOOKUP(D84,Poeng!$B$10:$BB$251,Poeng!AF$1,FALSE)</f>
        <v>0</v>
      </c>
      <c r="W84" s="123" t="str">
        <f>VLOOKUP(D84,Poeng!$B$10:$BJ$251,Poeng!BJ$1,FALSE)</f>
        <v>N/A</v>
      </c>
      <c r="X84" s="81"/>
      <c r="Y84" s="80"/>
      <c r="Z84" s="749"/>
      <c r="AA84" s="133"/>
      <c r="AB84" s="648"/>
      <c r="AC84" s="107">
        <f t="shared" si="11"/>
        <v>1</v>
      </c>
      <c r="AD84" s="3" t="e">
        <f>VLOOKUP(K84,'Assessment Details'!$O$45:$P$48,2,FALSE)</f>
        <v>#N/A</v>
      </c>
      <c r="AE84" s="3" t="e">
        <f>VLOOKUP(R84,'Assessment Details'!$O$45:$P$48,2,FALSE)</f>
        <v>#N/A</v>
      </c>
      <c r="AF84" s="3" t="e">
        <f>VLOOKUP(Y84,'Assessment Details'!$O$45:$P$48,2,FALSE)</f>
        <v>#N/A</v>
      </c>
      <c r="AI84" s="70"/>
      <c r="AJ84" s="679"/>
      <c r="AK84" s="656"/>
      <c r="AL84" s="656"/>
      <c r="AM84" s="70"/>
      <c r="AN84" s="70"/>
      <c r="AO84" s="70"/>
      <c r="AP84" s="70"/>
      <c r="AS84" s="23"/>
      <c r="AT84" s="23"/>
      <c r="AU84" s="23"/>
      <c r="AV84" s="23"/>
      <c r="AW84" s="23"/>
      <c r="AX84" s="23"/>
      <c r="AZ84" s="648"/>
    </row>
    <row r="85" spans="1:52" x14ac:dyDescent="0.25">
      <c r="A85" s="1091">
        <v>76</v>
      </c>
      <c r="B85" s="1092" t="s">
        <v>68</v>
      </c>
      <c r="C85" s="1097" t="str">
        <f>C83</f>
        <v>Ene 06</v>
      </c>
      <c r="D85" s="837" t="s">
        <v>922</v>
      </c>
      <c r="E85" s="875" t="str">
        <f>VLOOKUP(D85,Poeng!$B$10:$Q$251,Poeng!D$1,FALSE)</f>
        <v>Energy efficient features: escalators or moving walks</v>
      </c>
      <c r="F85" s="122">
        <f>VLOOKUP(D85,Poeng!$B$10:$AA$251,Poeng!AA$1,FALSE)</f>
        <v>1</v>
      </c>
      <c r="G85" s="43"/>
      <c r="H85" s="123">
        <f>VLOOKUP(D85,Poeng!$B$10:$AD$251,Poeng!AD$1,FALSE)</f>
        <v>0</v>
      </c>
      <c r="I85" s="124" t="str">
        <f>VLOOKUP(D85,Poeng!$B$10:$BD$251,Poeng!BD$1,FALSE)</f>
        <v>N/A</v>
      </c>
      <c r="J85" s="80"/>
      <c r="K85" s="281"/>
      <c r="L85" s="809"/>
      <c r="M85" s="829"/>
      <c r="N85" s="83"/>
      <c r="O85" s="123">
        <f>VLOOKUP(D85,Poeng!$B$10:$BB$251,Poeng!AE$1,FALSE)</f>
        <v>0</v>
      </c>
      <c r="P85" s="123" t="str">
        <f>VLOOKUP(D85,Poeng!$B$10:$BG$251,Poeng!BG$1,FALSE)</f>
        <v>N/A</v>
      </c>
      <c r="Q85" s="755"/>
      <c r="R85" s="756"/>
      <c r="S85" s="749"/>
      <c r="T85" s="319"/>
      <c r="U85" s="83"/>
      <c r="V85" s="123">
        <f>VLOOKUP(D85,Poeng!$B$10:$BB$251,Poeng!AF$1,FALSE)</f>
        <v>0</v>
      </c>
      <c r="W85" s="123" t="str">
        <f>VLOOKUP(D85,Poeng!$B$10:$BJ$251,Poeng!BJ$1,FALSE)</f>
        <v>N/A</v>
      </c>
      <c r="X85" s="81"/>
      <c r="Y85" s="80"/>
      <c r="Z85" s="749"/>
      <c r="AA85" s="133"/>
      <c r="AB85" s="648"/>
      <c r="AC85" s="107">
        <f t="shared" si="11"/>
        <v>1</v>
      </c>
      <c r="AD85" s="3" t="e">
        <f>VLOOKUP(K85,'Assessment Details'!$O$45:$P$48,2,FALSE)</f>
        <v>#N/A</v>
      </c>
      <c r="AE85" s="3" t="e">
        <f>VLOOKUP(R85,'Assessment Details'!$O$45:$P$48,2,FALSE)</f>
        <v>#N/A</v>
      </c>
      <c r="AF85" s="3" t="e">
        <f>VLOOKUP(Y85,'Assessment Details'!$O$45:$P$48,2,FALSE)</f>
        <v>#N/A</v>
      </c>
      <c r="AI85" s="70"/>
      <c r="AJ85" s="679"/>
      <c r="AK85" s="656"/>
      <c r="AL85" s="656"/>
      <c r="AM85" s="70"/>
      <c r="AN85" s="70"/>
      <c r="AO85" s="70"/>
      <c r="AP85" s="70"/>
      <c r="AS85" s="23"/>
      <c r="AT85" s="23"/>
      <c r="AU85" s="23"/>
      <c r="AV85" s="23"/>
      <c r="AW85" s="23"/>
      <c r="AX85" s="23"/>
      <c r="AZ85" s="648"/>
    </row>
    <row r="86" spans="1:52" x14ac:dyDescent="0.25">
      <c r="A86" s="1091">
        <v>77</v>
      </c>
      <c r="B86" s="1092" t="s">
        <v>68</v>
      </c>
      <c r="C86" s="938" t="s">
        <v>143</v>
      </c>
      <c r="D86" s="837" t="s">
        <v>143</v>
      </c>
      <c r="E86" s="874" t="str">
        <f>VLOOKUP(D86,Poeng!$B$10:$Q$251,Poeng!D$1,FALSE)</f>
        <v>Ene 07 Energy Efficient Laboratory Systems</v>
      </c>
      <c r="F86" s="879">
        <f>VLOOKUP(D86,Poeng!$B$10:$AA$251,Poeng!AA$1,FALSE)</f>
        <v>5</v>
      </c>
      <c r="G86" s="1015"/>
      <c r="H86" s="880" t="str">
        <f>VLOOKUP(D86,Poeng!$B$10:$AH$251,Poeng!AH$1,FALSE)&amp;" c. "&amp;ROUND(VLOOKUP(D86,Poeng!$B$10:$AD$251,Poeng!AD$1,FALSE)*100,1)&amp;" %"</f>
        <v>0 c. 0 %</v>
      </c>
      <c r="I86" s="938" t="str">
        <f>VLOOKUP(D86,Poeng!$B$10:$BD$251,Poeng!BD$1,FALSE)</f>
        <v>N/A</v>
      </c>
      <c r="J86" s="80"/>
      <c r="K86" s="281"/>
      <c r="L86" s="809"/>
      <c r="M86" s="829"/>
      <c r="N86" s="1015"/>
      <c r="O86" s="891" t="str">
        <f>VLOOKUP(D86,Poeng!$B$10:$BB$251,Poeng!AI$1,FALSE)&amp;" c. "&amp;ROUND(VLOOKUP(D86,Poeng!$B$10:$BB$251,Poeng!AE$1,FALSE)*100,1)&amp;" %"</f>
        <v>0 c. 0 %</v>
      </c>
      <c r="P86" s="123" t="str">
        <f>VLOOKUP(D86,Poeng!$B$10:$BG$251,Poeng!BG$1,FALSE)</f>
        <v>N/A</v>
      </c>
      <c r="Q86" s="755"/>
      <c r="R86" s="756"/>
      <c r="S86" s="749"/>
      <c r="T86" s="319"/>
      <c r="U86" s="1015"/>
      <c r="V86" s="891" t="str">
        <f>VLOOKUP(D86,Poeng!$B$10:$BB$251,Poeng!AJ$1,FALSE)&amp;" c. "&amp;ROUND(VLOOKUP(D86,Poeng!$B$10:$BB$251,Poeng!AF$1,FALSE)*100,1)&amp;" %"</f>
        <v>0 c. 0 %</v>
      </c>
      <c r="W86" s="123" t="str">
        <f>VLOOKUP(D86,Poeng!$B$10:$BJ$251,Poeng!BJ$1,FALSE)</f>
        <v>N/A</v>
      </c>
      <c r="X86" s="81"/>
      <c r="Y86" s="80"/>
      <c r="Z86" s="749"/>
      <c r="AA86" s="133"/>
      <c r="AB86" s="648" t="s">
        <v>15</v>
      </c>
      <c r="AC86" s="107">
        <f t="shared" si="11"/>
        <v>1</v>
      </c>
      <c r="AD86" s="3" t="e">
        <f>VLOOKUP(K86,'Assessment Details'!$O$45:$P$48,2,FALSE)</f>
        <v>#N/A</v>
      </c>
      <c r="AE86" s="3" t="e">
        <f>VLOOKUP(R86,'Assessment Details'!$O$45:$P$48,2,FALSE)</f>
        <v>#N/A</v>
      </c>
      <c r="AF86" s="3" t="e">
        <f>VLOOKUP(Y86,'Assessment Details'!$O$45:$P$48,2,FALSE)</f>
        <v>#N/A</v>
      </c>
      <c r="AI86" s="70"/>
      <c r="AJ86" s="679" t="s">
        <v>134</v>
      </c>
      <c r="AK86" s="70"/>
      <c r="AL86" s="70"/>
      <c r="AM86" s="70"/>
      <c r="AN86" s="70"/>
      <c r="AO86" s="70"/>
      <c r="AP86" s="70"/>
      <c r="AS86" s="23" t="str">
        <f t="shared" si="3"/>
        <v>N/A</v>
      </c>
      <c r="AT86" s="23" t="str">
        <f t="shared" si="1"/>
        <v>N/A</v>
      </c>
      <c r="AU86" s="23" t="str">
        <f t="shared" si="2"/>
        <v>N/A</v>
      </c>
      <c r="AV86" s="23"/>
      <c r="AW86" s="23"/>
      <c r="AX86" s="23"/>
      <c r="AZ86" s="648"/>
    </row>
    <row r="87" spans="1:52" x14ac:dyDescent="0.25">
      <c r="A87" s="1091">
        <v>78</v>
      </c>
      <c r="B87" s="1092" t="s">
        <v>68</v>
      </c>
      <c r="C87" s="1097" t="str">
        <f t="shared" si="6"/>
        <v>Ene 07</v>
      </c>
      <c r="D87" s="837" t="s">
        <v>761</v>
      </c>
      <c r="E87" s="875" t="str">
        <f>VLOOKUP(D87,Poeng!$B$10:$Q$251,Poeng!D$1,FALSE)</f>
        <v xml:space="preserve">Design specification </v>
      </c>
      <c r="F87" s="122">
        <f>VLOOKUP(D87,Poeng!$B$10:$AA$251,Poeng!AA$1,FALSE)</f>
        <v>1</v>
      </c>
      <c r="G87" s="43"/>
      <c r="H87" s="123">
        <f>VLOOKUP(D87,Poeng!$B$10:$AD$251,Poeng!AD$1,FALSE)</f>
        <v>0</v>
      </c>
      <c r="I87" s="124" t="str">
        <f>VLOOKUP(D87,Poeng!$B$10:$BD$251,Poeng!BD$1,FALSE)</f>
        <v>Unclassified</v>
      </c>
      <c r="J87" s="80"/>
      <c r="K87" s="281"/>
      <c r="L87" s="809"/>
      <c r="M87" s="829"/>
      <c r="N87" s="83"/>
      <c r="O87" s="123">
        <f>VLOOKUP(D87,Poeng!$B$10:$BB$251,Poeng!AE$1,FALSE)</f>
        <v>0</v>
      </c>
      <c r="P87" s="123" t="str">
        <f>VLOOKUP(D87,Poeng!$B$10:$BG$251,Poeng!BG$1,FALSE)</f>
        <v>Unclassified</v>
      </c>
      <c r="Q87" s="755"/>
      <c r="R87" s="756"/>
      <c r="S87" s="749"/>
      <c r="T87" s="319"/>
      <c r="U87" s="83"/>
      <c r="V87" s="123">
        <f>VLOOKUP(D87,Poeng!$B$10:$BB$251,Poeng!AF$1,FALSE)</f>
        <v>0</v>
      </c>
      <c r="W87" s="123" t="str">
        <f>VLOOKUP(D87,Poeng!$B$10:$BJ$251,Poeng!BJ$1,FALSE)</f>
        <v>Unclassified</v>
      </c>
      <c r="X87" s="81"/>
      <c r="Y87" s="80"/>
      <c r="Z87" s="749"/>
      <c r="AA87" s="133"/>
      <c r="AB87" s="648"/>
      <c r="AC87" s="107">
        <f t="shared" si="11"/>
        <v>1</v>
      </c>
      <c r="AD87" s="3" t="e">
        <f>VLOOKUP(K87,'Assessment Details'!$O$45:$P$48,2,FALSE)</f>
        <v>#N/A</v>
      </c>
      <c r="AE87" s="3" t="e">
        <f>VLOOKUP(R87,'Assessment Details'!$O$45:$P$48,2,FALSE)</f>
        <v>#N/A</v>
      </c>
      <c r="AF87" s="3" t="e">
        <f>VLOOKUP(Y87,'Assessment Details'!$O$45:$P$48,2,FALSE)</f>
        <v>#N/A</v>
      </c>
      <c r="AI87" s="70"/>
      <c r="AJ87" s="679"/>
      <c r="AK87" s="70"/>
      <c r="AL87" s="70"/>
      <c r="AM87" s="70"/>
      <c r="AN87" s="70"/>
      <c r="AO87" s="70"/>
      <c r="AP87" s="70"/>
      <c r="AS87" s="23"/>
      <c r="AT87" s="23"/>
      <c r="AU87" s="23"/>
      <c r="AV87" s="23"/>
      <c r="AW87" s="23"/>
      <c r="AX87" s="23"/>
      <c r="AZ87" s="648"/>
    </row>
    <row r="88" spans="1:52" x14ac:dyDescent="0.25">
      <c r="A88" s="1091">
        <v>79</v>
      </c>
      <c r="B88" s="1092" t="s">
        <v>68</v>
      </c>
      <c r="C88" s="1097" t="str">
        <f t="shared" si="6"/>
        <v>Ene 07</v>
      </c>
      <c r="D88" s="837" t="s">
        <v>762</v>
      </c>
      <c r="E88" s="875" t="str">
        <f>VLOOKUP(D88,Poeng!$B$10:$Q$251,Poeng!D$1,FALSE)</f>
        <v xml:space="preserve">Best practice energy efficient measures </v>
      </c>
      <c r="F88" s="122">
        <f>VLOOKUP(D88,Poeng!$B$10:$AA$251,Poeng!AA$1,FALSE)</f>
        <v>4</v>
      </c>
      <c r="G88" s="43"/>
      <c r="H88" s="123">
        <f>VLOOKUP(D88,Poeng!$B$10:$AD$251,Poeng!AD$1,FALSE)</f>
        <v>0</v>
      </c>
      <c r="I88" s="124" t="str">
        <f>VLOOKUP(D88,Poeng!$B$10:$BD$251,Poeng!BD$1,FALSE)</f>
        <v>N/A</v>
      </c>
      <c r="J88" s="80"/>
      <c r="K88" s="281"/>
      <c r="L88" s="809"/>
      <c r="M88" s="829"/>
      <c r="N88" s="83"/>
      <c r="O88" s="123">
        <f>VLOOKUP(D88,Poeng!$B$10:$BB$251,Poeng!AE$1,FALSE)</f>
        <v>0</v>
      </c>
      <c r="P88" s="123" t="str">
        <f>VLOOKUP(D88,Poeng!$B$10:$BG$251,Poeng!BG$1,FALSE)</f>
        <v>N/A</v>
      </c>
      <c r="Q88" s="755"/>
      <c r="R88" s="756"/>
      <c r="S88" s="749"/>
      <c r="T88" s="319"/>
      <c r="U88" s="83"/>
      <c r="V88" s="123">
        <f>VLOOKUP(D88,Poeng!$B$10:$BB$251,Poeng!AF$1,FALSE)</f>
        <v>0</v>
      </c>
      <c r="W88" s="123" t="str">
        <f>VLOOKUP(D88,Poeng!$B$10:$BJ$251,Poeng!BJ$1,FALSE)</f>
        <v>N/A</v>
      </c>
      <c r="X88" s="81"/>
      <c r="Y88" s="80"/>
      <c r="Z88" s="749"/>
      <c r="AA88" s="133"/>
      <c r="AB88" s="648"/>
      <c r="AC88" s="107">
        <f t="shared" si="11"/>
        <v>1</v>
      </c>
      <c r="AD88" s="3" t="e">
        <f>VLOOKUP(K88,'Assessment Details'!$O$45:$P$48,2,FALSE)</f>
        <v>#N/A</v>
      </c>
      <c r="AE88" s="3" t="e">
        <f>VLOOKUP(R88,'Assessment Details'!$O$45:$P$48,2,FALSE)</f>
        <v>#N/A</v>
      </c>
      <c r="AF88" s="3" t="e">
        <f>VLOOKUP(Y88,'Assessment Details'!$O$45:$P$48,2,FALSE)</f>
        <v>#N/A</v>
      </c>
      <c r="AI88" s="70"/>
      <c r="AJ88" s="679"/>
      <c r="AK88" s="70"/>
      <c r="AL88" s="70"/>
      <c r="AM88" s="70"/>
      <c r="AN88" s="70"/>
      <c r="AO88" s="70"/>
      <c r="AP88" s="70"/>
      <c r="AS88" s="23"/>
      <c r="AT88" s="23"/>
      <c r="AU88" s="23"/>
      <c r="AV88" s="23"/>
      <c r="AW88" s="23"/>
      <c r="AX88" s="23"/>
      <c r="AZ88" s="648"/>
    </row>
    <row r="89" spans="1:52" x14ac:dyDescent="0.25">
      <c r="A89" s="1091">
        <v>80</v>
      </c>
      <c r="B89" s="1092" t="s">
        <v>68</v>
      </c>
      <c r="C89" s="938" t="s">
        <v>144</v>
      </c>
      <c r="D89" s="837" t="s">
        <v>144</v>
      </c>
      <c r="E89" s="874" t="str">
        <f>VLOOKUP(D89,Poeng!$B$10:$Q$251,Poeng!D$1,FALSE)</f>
        <v>Ene 08 Energy efficient equipment</v>
      </c>
      <c r="F89" s="879">
        <f>VLOOKUP(D89,Poeng!$B$10:$AA$251,Poeng!AA$1,FALSE)</f>
        <v>2</v>
      </c>
      <c r="G89" s="1015"/>
      <c r="H89" s="880" t="str">
        <f>VLOOKUP(D89,Poeng!$B$10:$AH$251,Poeng!AH$1,FALSE)&amp;" c. "&amp;ROUND(VLOOKUP(D89,Poeng!$B$10:$AD$251,Poeng!AD$1,FALSE)*100,1)&amp;" %"</f>
        <v>0 c. 0 %</v>
      </c>
      <c r="I89" s="938" t="str">
        <f>VLOOKUP(D89,Poeng!$B$10:$BD$251,Poeng!BD$1,FALSE)</f>
        <v>N/A</v>
      </c>
      <c r="J89" s="80"/>
      <c r="K89" s="281"/>
      <c r="L89" s="809"/>
      <c r="M89" s="829"/>
      <c r="N89" s="1015"/>
      <c r="O89" s="891" t="str">
        <f>VLOOKUP(D89,Poeng!$B$10:$BB$251,Poeng!AI$1,FALSE)&amp;" c. "&amp;ROUND(VLOOKUP(D89,Poeng!$B$10:$BB$251,Poeng!AE$1,FALSE)*100,1)&amp;" %"</f>
        <v>0 c. 0 %</v>
      </c>
      <c r="P89" s="123" t="str">
        <f>VLOOKUP(D89,Poeng!$B$10:$BG$251,Poeng!BG$1,FALSE)</f>
        <v>N/A</v>
      </c>
      <c r="Q89" s="755"/>
      <c r="R89" s="756"/>
      <c r="S89" s="749"/>
      <c r="T89" s="319"/>
      <c r="U89" s="1015"/>
      <c r="V89" s="891" t="str">
        <f>VLOOKUP(D89,Poeng!$B$10:$BB$251,Poeng!AJ$1,FALSE)&amp;" c. "&amp;ROUND(VLOOKUP(D89,Poeng!$B$10:$BB$251,Poeng!AF$1,FALSE)*100,1)&amp;" %"</f>
        <v>0 c. 0 %</v>
      </c>
      <c r="W89" s="123" t="str">
        <f>VLOOKUP(D89,Poeng!$B$10:$BJ$251,Poeng!BJ$1,FALSE)</f>
        <v>N/A</v>
      </c>
      <c r="X89" s="81"/>
      <c r="Y89" s="80"/>
      <c r="Z89" s="749"/>
      <c r="AA89" s="133"/>
      <c r="AB89" s="648" t="s">
        <v>14</v>
      </c>
      <c r="AC89" s="107">
        <f t="shared" si="11"/>
        <v>1</v>
      </c>
      <c r="AD89" s="3" t="e">
        <f>VLOOKUP(K89,'Assessment Details'!$O$45:$P$48,2,FALSE)</f>
        <v>#N/A</v>
      </c>
      <c r="AE89" s="3" t="e">
        <f>VLOOKUP(R89,'Assessment Details'!$O$45:$P$48,2,FALSE)</f>
        <v>#N/A</v>
      </c>
      <c r="AF89" s="3" t="e">
        <f>VLOOKUP(Y89,'Assessment Details'!$O$45:$P$48,2,FALSE)</f>
        <v>#N/A</v>
      </c>
      <c r="AI89" s="70" t="str">
        <f>ais_yes</f>
        <v>Ja</v>
      </c>
      <c r="AJ89" s="679" t="s">
        <v>135</v>
      </c>
      <c r="AK89" s="656" t="s">
        <v>408</v>
      </c>
      <c r="AL89" s="656" t="s">
        <v>412</v>
      </c>
      <c r="AM89" s="656" t="s">
        <v>410</v>
      </c>
      <c r="AN89" s="70"/>
      <c r="AO89" s="70"/>
      <c r="AP89" s="70"/>
      <c r="AR89" s="1" t="s">
        <v>14</v>
      </c>
      <c r="AS89" s="23" t="str">
        <f t="shared" si="3"/>
        <v>N/A</v>
      </c>
      <c r="AT89" s="23" t="str">
        <f t="shared" si="1"/>
        <v>N/A</v>
      </c>
      <c r="AU89" s="23" t="str">
        <f t="shared" si="2"/>
        <v>N/A</v>
      </c>
      <c r="AV89" s="23"/>
      <c r="AW89" s="23"/>
      <c r="AX89" s="23"/>
      <c r="AZ89" s="648"/>
    </row>
    <row r="90" spans="1:52" ht="30" x14ac:dyDescent="0.25">
      <c r="A90" s="1091">
        <v>81</v>
      </c>
      <c r="B90" s="1092" t="s">
        <v>68</v>
      </c>
      <c r="C90" s="1102" t="str">
        <f t="shared" si="6"/>
        <v>Ene 08</v>
      </c>
      <c r="D90" s="837" t="s">
        <v>763</v>
      </c>
      <c r="E90" s="1086" t="str">
        <f>VLOOKUP(D90,Poeng!$B$10:$Q$251,Poeng!D$1,FALSE)</f>
        <v xml:space="preserve">Reduction of the building's significant unregulated energy consumption </v>
      </c>
      <c r="F90" s="122">
        <f>VLOOKUP(D90,Poeng!$B$10:$AA$251,Poeng!AA$1,FALSE)</f>
        <v>2</v>
      </c>
      <c r="G90" s="43"/>
      <c r="H90" s="123">
        <f>VLOOKUP(D90,Poeng!$B$10:$AD$251,Poeng!AD$1,FALSE)</f>
        <v>0</v>
      </c>
      <c r="I90" s="124" t="str">
        <f>VLOOKUP(D90,Poeng!$B$10:$BD$251,Poeng!BD$1,FALSE)</f>
        <v>N/A</v>
      </c>
      <c r="J90" s="80"/>
      <c r="K90" s="281"/>
      <c r="L90" s="809"/>
      <c r="M90" s="829"/>
      <c r="N90" s="83"/>
      <c r="O90" s="123">
        <f>VLOOKUP(D90,Poeng!$B$10:$BB$251,Poeng!AE$1,FALSE)</f>
        <v>0</v>
      </c>
      <c r="P90" s="123" t="str">
        <f>VLOOKUP(D90,Poeng!$B$10:$BG$251,Poeng!BG$1,FALSE)</f>
        <v>N/A</v>
      </c>
      <c r="Q90" s="755"/>
      <c r="R90" s="756"/>
      <c r="S90" s="749"/>
      <c r="T90" s="319"/>
      <c r="U90" s="83"/>
      <c r="V90" s="123">
        <f>VLOOKUP(D90,Poeng!$B$10:$BB$251,Poeng!AF$1,FALSE)</f>
        <v>0</v>
      </c>
      <c r="W90" s="123" t="str">
        <f>VLOOKUP(D90,Poeng!$B$10:$BJ$251,Poeng!BJ$1,FALSE)</f>
        <v>N/A</v>
      </c>
      <c r="X90" s="81"/>
      <c r="Y90" s="80"/>
      <c r="Z90" s="749"/>
      <c r="AA90" s="133"/>
      <c r="AB90" s="725"/>
      <c r="AC90" s="107">
        <f t="shared" si="11"/>
        <v>1</v>
      </c>
      <c r="AD90" s="3" t="e">
        <f>VLOOKUP(K90,'Assessment Details'!$O$45:$P$48,2,FALSE)</f>
        <v>#N/A</v>
      </c>
      <c r="AE90" s="3" t="e">
        <f>VLOOKUP(R90,'Assessment Details'!$O$45:$P$48,2,FALSE)</f>
        <v>#N/A</v>
      </c>
      <c r="AF90" s="3" t="e">
        <f>VLOOKUP(Y90,'Assessment Details'!$O$45:$P$48,2,FALSE)</f>
        <v>#N/A</v>
      </c>
      <c r="AI90" s="70"/>
      <c r="AJ90" s="679"/>
      <c r="AK90" s="656"/>
      <c r="AL90" s="656"/>
      <c r="AM90" s="656"/>
      <c r="AN90" s="70"/>
      <c r="AO90" s="70"/>
      <c r="AP90" s="70"/>
      <c r="AS90" s="23"/>
      <c r="AT90" s="23"/>
      <c r="AU90" s="23"/>
      <c r="AV90" s="23"/>
      <c r="AW90" s="23"/>
      <c r="AX90" s="23"/>
      <c r="AZ90" s="725"/>
    </row>
    <row r="91" spans="1:52" ht="15.75" thickBot="1" x14ac:dyDescent="0.3">
      <c r="A91" s="1091">
        <v>82</v>
      </c>
      <c r="B91" s="1092" t="s">
        <v>68</v>
      </c>
      <c r="C91" s="1098"/>
      <c r="D91" s="837" t="s">
        <v>888</v>
      </c>
      <c r="E91" s="320" t="s">
        <v>107</v>
      </c>
      <c r="F91" s="125">
        <f>Ene_Credits</f>
        <v>27</v>
      </c>
      <c r="G91" s="131"/>
      <c r="H91" s="126">
        <f>Ene_cont_tot</f>
        <v>0</v>
      </c>
      <c r="I91" s="881" t="str">
        <f>"Credits achieved: "&amp;Ene_tot_user</f>
        <v>Credits achieved: 0</v>
      </c>
      <c r="J91" s="134"/>
      <c r="K91" s="282"/>
      <c r="L91" s="757"/>
      <c r="M91" s="829"/>
      <c r="N91" s="383"/>
      <c r="O91" s="126">
        <f>VLOOKUP(D91,Poeng!$B$10:$BB$251,Poeng!AE$1,FALSE)</f>
        <v>0</v>
      </c>
      <c r="P91" s="881" t="str">
        <f>"Credits achieved: "&amp;Ene_d_user</f>
        <v>Credits achieved: 0</v>
      </c>
      <c r="Q91" s="758"/>
      <c r="R91" s="759"/>
      <c r="S91" s="757"/>
      <c r="T91" s="319"/>
      <c r="U91" s="383"/>
      <c r="V91" s="126">
        <f>VLOOKUP(D91,Poeng!$B$10:$BB$251,Poeng!AF$1,FALSE)</f>
        <v>0</v>
      </c>
      <c r="W91" s="881" t="str">
        <f>"Credits achieved: "&amp;Ene_c_user</f>
        <v>Credits achieved: 0</v>
      </c>
      <c r="X91" s="382"/>
      <c r="Y91" s="136"/>
      <c r="Z91" s="757"/>
      <c r="AA91" s="133"/>
      <c r="AB91" s="649"/>
      <c r="AC91" s="107">
        <f t="shared" si="11"/>
        <v>1</v>
      </c>
      <c r="AD91" s="276">
        <v>0</v>
      </c>
      <c r="AE91" s="276">
        <v>0</v>
      </c>
      <c r="AF91" s="276">
        <v>0</v>
      </c>
      <c r="AI91" s="70"/>
      <c r="AJ91" s="679" t="s">
        <v>107</v>
      </c>
      <c r="AK91" s="70"/>
      <c r="AL91" s="70"/>
      <c r="AM91" s="70"/>
      <c r="AN91" s="70"/>
      <c r="AO91" s="70"/>
      <c r="AP91" s="70"/>
      <c r="AS91" s="23" t="str">
        <f t="shared" si="3"/>
        <v>N/A</v>
      </c>
      <c r="AT91" s="23" t="str">
        <f t="shared" si="1"/>
        <v>N/A</v>
      </c>
      <c r="AU91" s="23" t="str">
        <f t="shared" si="2"/>
        <v>N/A</v>
      </c>
      <c r="AV91" s="23"/>
      <c r="AW91" s="23"/>
      <c r="AX91" s="23"/>
      <c r="AZ91" s="649"/>
    </row>
    <row r="92" spans="1:52" x14ac:dyDescent="0.25">
      <c r="A92" s="1091">
        <v>83</v>
      </c>
      <c r="B92" s="1092" t="s">
        <v>68</v>
      </c>
      <c r="C92" s="322"/>
      <c r="D92" s="837"/>
      <c r="E92" s="321"/>
      <c r="F92" s="322"/>
      <c r="G92" s="323"/>
      <c r="H92" s="322"/>
      <c r="I92" s="322"/>
      <c r="J92" s="324"/>
      <c r="K92" s="323"/>
      <c r="L92" s="760"/>
      <c r="M92" s="828"/>
      <c r="N92" s="325"/>
      <c r="O92" s="325"/>
      <c r="P92" s="760"/>
      <c r="Q92" s="760"/>
      <c r="R92" s="761"/>
      <c r="S92" s="1109"/>
      <c r="T92" s="326"/>
      <c r="U92" s="325"/>
      <c r="V92" s="325"/>
      <c r="W92" s="760"/>
      <c r="X92" s="324"/>
      <c r="Y92" s="325"/>
      <c r="Z92" s="1109"/>
      <c r="AA92" s="710"/>
      <c r="AB92" s="324"/>
      <c r="AC92" s="107">
        <f t="shared" si="11"/>
        <v>1</v>
      </c>
      <c r="AD92" s="278">
        <v>0</v>
      </c>
      <c r="AE92" s="278">
        <v>0</v>
      </c>
      <c r="AF92" s="278">
        <v>0</v>
      </c>
      <c r="AI92" s="70"/>
      <c r="AJ92" s="679"/>
      <c r="AK92" s="70"/>
      <c r="AL92" s="70"/>
      <c r="AM92" s="70"/>
      <c r="AN92" s="70"/>
      <c r="AO92" s="70"/>
      <c r="AP92" s="70"/>
      <c r="AS92" s="23" t="str">
        <f t="shared" ref="AS92:AS160" si="12">IF($AJ$4=ais_no,AIS_NA,IF(AK92="",AIS_NA,AK92))</f>
        <v>N/A</v>
      </c>
      <c r="AT92" s="23" t="str">
        <f t="shared" ref="AT92:AT160" si="13">IF($AJ$4=ais_no,AIS_NA,IF(AL92="",AIS_NA,AL92))</f>
        <v>N/A</v>
      </c>
      <c r="AU92" s="23" t="str">
        <f t="shared" ref="AU92:AV160" si="14">IF($AJ$4=ais_no,AIS_NA,IF(AM92="",AIS_NA,AM92))</f>
        <v>N/A</v>
      </c>
      <c r="AV92" s="23"/>
      <c r="AW92" s="23"/>
      <c r="AX92" s="23"/>
      <c r="AZ92" s="324"/>
    </row>
    <row r="93" spans="1:52" ht="18.75" x14ac:dyDescent="0.25">
      <c r="A93" s="1091">
        <v>84</v>
      </c>
      <c r="B93" s="1092" t="s">
        <v>69</v>
      </c>
      <c r="C93" s="1099"/>
      <c r="D93" s="837"/>
      <c r="E93" s="327" t="s">
        <v>55</v>
      </c>
      <c r="F93" s="315"/>
      <c r="G93" s="316"/>
      <c r="H93" s="336"/>
      <c r="I93" s="315"/>
      <c r="J93" s="328"/>
      <c r="K93" s="329"/>
      <c r="L93" s="763"/>
      <c r="M93" s="829"/>
      <c r="N93" s="339"/>
      <c r="O93" s="332"/>
      <c r="P93" s="753"/>
      <c r="Q93" s="764"/>
      <c r="R93" s="765"/>
      <c r="S93" s="766"/>
      <c r="T93" s="319"/>
      <c r="U93" s="339"/>
      <c r="V93" s="338"/>
      <c r="W93" s="753"/>
      <c r="X93" s="328"/>
      <c r="Y93" s="338"/>
      <c r="Z93" s="763"/>
      <c r="AA93" s="133"/>
      <c r="AB93" s="337"/>
      <c r="AC93" s="107">
        <f t="shared" si="11"/>
        <v>1</v>
      </c>
      <c r="AD93" s="275">
        <v>0</v>
      </c>
      <c r="AE93" s="275">
        <v>0</v>
      </c>
      <c r="AF93" s="275">
        <v>0</v>
      </c>
      <c r="AI93" s="70"/>
      <c r="AJ93" s="679" t="s">
        <v>55</v>
      </c>
      <c r="AK93" s="70"/>
      <c r="AL93" s="70"/>
      <c r="AM93" s="70"/>
      <c r="AN93" s="70"/>
      <c r="AO93" s="70"/>
      <c r="AP93" s="70"/>
      <c r="AS93" s="23" t="str">
        <f t="shared" si="12"/>
        <v>N/A</v>
      </c>
      <c r="AT93" s="23" t="str">
        <f t="shared" si="13"/>
        <v>N/A</v>
      </c>
      <c r="AU93" s="23" t="str">
        <f t="shared" si="14"/>
        <v>N/A</v>
      </c>
      <c r="AV93" s="23"/>
      <c r="AW93" s="23"/>
      <c r="AX93" s="23"/>
      <c r="AZ93" s="337"/>
    </row>
    <row r="94" spans="1:52" x14ac:dyDescent="0.25">
      <c r="A94" s="1091">
        <v>85</v>
      </c>
      <c r="B94" s="1092" t="s">
        <v>69</v>
      </c>
      <c r="C94" s="938" t="s">
        <v>149</v>
      </c>
      <c r="D94" s="837" t="s">
        <v>149</v>
      </c>
      <c r="E94" s="874" t="str">
        <f>VLOOKUP(D94,Poeng!$B$10:$Q$251,Poeng!D$1,FALSE)</f>
        <v>Tra 01 Transport assessment and travel plan</v>
      </c>
      <c r="F94" s="879">
        <f>VLOOKUP(D94,Poeng!$B$10:$AA$251,Poeng!AA$1,FALSE)</f>
        <v>3</v>
      </c>
      <c r="G94" s="1014"/>
      <c r="H94" s="880" t="str">
        <f>VLOOKUP(D94,Poeng!$B$10:$AH$251,Poeng!AH$1,FALSE)&amp;" c. "&amp;ROUND(VLOOKUP(D94,Poeng!$B$10:$AD$251,Poeng!AD$1,FALSE)*100,1)&amp;" %"</f>
        <v>0 c. 0 %</v>
      </c>
      <c r="I94" s="937" t="str">
        <f>VLOOKUP(D94,Poeng!$B$10:$BD$251,Poeng!BD$1,FALSE)</f>
        <v>N/A</v>
      </c>
      <c r="J94" s="888"/>
      <c r="K94" s="889"/>
      <c r="L94" s="890"/>
      <c r="M94" s="828"/>
      <c r="N94" s="1015"/>
      <c r="O94" s="1108" t="str">
        <f>VLOOKUP(D94,Poeng!$B$10:$BB$251,Poeng!AI$1,FALSE)&amp;" c. "&amp;ROUND(VLOOKUP(D94,Poeng!$B$10:$BB$251,Poeng!AE$1,FALSE)*100,1)&amp;" %"</f>
        <v>0 c. 0 %</v>
      </c>
      <c r="P94" s="123" t="str">
        <f>VLOOKUP(D94,Poeng!$B$10:$BG$251,Poeng!BG$1,FALSE)</f>
        <v>N/A</v>
      </c>
      <c r="Q94" s="755"/>
      <c r="R94" s="756"/>
      <c r="S94" s="749"/>
      <c r="T94" s="319"/>
      <c r="U94" s="1015"/>
      <c r="V94" s="891" t="str">
        <f>VLOOKUP(D94,Poeng!$B$10:$BB$251,Poeng!AJ$1,FALSE)&amp;" c. "&amp;ROUND(VLOOKUP(D94,Poeng!$B$10:$BB$251,Poeng!AF$1,FALSE)*100,1)&amp;" %"</f>
        <v>0 c. 0 %</v>
      </c>
      <c r="W94" s="123" t="str">
        <f>VLOOKUP(D94,Poeng!$B$10:$BJ$251,Poeng!BJ$1,FALSE)</f>
        <v>N/A</v>
      </c>
      <c r="X94" s="81"/>
      <c r="Y94" s="80"/>
      <c r="Z94" s="749"/>
      <c r="AA94" s="133"/>
      <c r="AB94" s="648" t="s">
        <v>15</v>
      </c>
      <c r="AC94" s="107">
        <f t="shared" si="11"/>
        <v>1</v>
      </c>
      <c r="AD94" s="3" t="e">
        <f>VLOOKUP(K94,'Assessment Details'!$O$45:$P$48,2,FALSE)</f>
        <v>#N/A</v>
      </c>
      <c r="AE94" s="3" t="e">
        <f>VLOOKUP(R94,'Assessment Details'!$O$45:$P$48,2,FALSE)</f>
        <v>#N/A</v>
      </c>
      <c r="AF94" s="3" t="e">
        <f>VLOOKUP(Y94,'Assessment Details'!$O$45:$P$48,2,FALSE)</f>
        <v>#N/A</v>
      </c>
      <c r="AI94" s="70"/>
      <c r="AJ94" s="679" t="s">
        <v>147</v>
      </c>
      <c r="AK94" s="70"/>
      <c r="AL94" s="70"/>
      <c r="AM94" s="70"/>
      <c r="AN94" s="70"/>
      <c r="AO94" s="70"/>
      <c r="AP94" s="70"/>
      <c r="AS94" s="23" t="str">
        <f t="shared" si="12"/>
        <v>N/A</v>
      </c>
      <c r="AT94" s="23" t="str">
        <f t="shared" si="13"/>
        <v>N/A</v>
      </c>
      <c r="AU94" s="23" t="str">
        <f t="shared" si="14"/>
        <v>N/A</v>
      </c>
      <c r="AV94" s="23"/>
      <c r="AW94" s="23"/>
      <c r="AX94" s="23"/>
      <c r="AZ94" s="648"/>
    </row>
    <row r="95" spans="1:52" x14ac:dyDescent="0.25">
      <c r="A95" s="1091">
        <v>86</v>
      </c>
      <c r="B95" s="1092" t="s">
        <v>69</v>
      </c>
      <c r="C95" s="1097" t="str">
        <f t="shared" si="6"/>
        <v>Tra 01</v>
      </c>
      <c r="D95" s="19" t="s">
        <v>764</v>
      </c>
      <c r="E95" s="875" t="str">
        <f>VLOOKUP(D95,Poeng!$B$10:$Q$251,Poeng!D$1,FALSE)</f>
        <v xml:space="preserve">Transport assessment and travel plan </v>
      </c>
      <c r="F95" s="122">
        <f>VLOOKUP(D95,Poeng!$B$10:$AA$251,Poeng!AA$1,FALSE)</f>
        <v>2</v>
      </c>
      <c r="G95" s="43"/>
      <c r="H95" s="123">
        <f>VLOOKUP(D95,Poeng!$B$10:$AD$251,Poeng!AD$1,FALSE)</f>
        <v>0</v>
      </c>
      <c r="I95" s="124" t="str">
        <f>VLOOKUP(D95,Poeng!$B$10:$BD$251,Poeng!BD$1,FALSE)</f>
        <v>N/A</v>
      </c>
      <c r="J95" s="80"/>
      <c r="K95" s="281"/>
      <c r="L95" s="809"/>
      <c r="M95" s="829"/>
      <c r="N95" s="83"/>
      <c r="O95" s="123">
        <f>VLOOKUP(D95,Poeng!$B$10:$BB$251,Poeng!AE$1,FALSE)</f>
        <v>0</v>
      </c>
      <c r="P95" s="123" t="str">
        <f>VLOOKUP(D95,Poeng!$B$10:$BG$251,Poeng!BG$1,FALSE)</f>
        <v>N/A</v>
      </c>
      <c r="Q95" s="755"/>
      <c r="R95" s="756"/>
      <c r="S95" s="749"/>
      <c r="T95" s="319"/>
      <c r="U95" s="83"/>
      <c r="V95" s="123">
        <f>VLOOKUP(D95,Poeng!$B$10:$BB$251,Poeng!AF$1,FALSE)</f>
        <v>0</v>
      </c>
      <c r="W95" s="123" t="str">
        <f>VLOOKUP(D95,Poeng!$B$10:$BJ$251,Poeng!BJ$1,FALSE)</f>
        <v>N/A</v>
      </c>
      <c r="X95" s="81"/>
      <c r="Y95" s="80"/>
      <c r="Z95" s="749"/>
      <c r="AC95" s="107">
        <f t="shared" si="11"/>
        <v>1</v>
      </c>
      <c r="AD95" s="3" t="e">
        <f>VLOOKUP(K95,'Assessment Details'!$O$45:$P$48,2,FALSE)</f>
        <v>#N/A</v>
      </c>
      <c r="AE95" s="3" t="e">
        <f>VLOOKUP(R95,'Assessment Details'!$O$45:$P$48,2,FALSE)</f>
        <v>#N/A</v>
      </c>
      <c r="AF95" s="3" t="e">
        <f>VLOOKUP(Y95,'Assessment Details'!$O$45:$P$48,2,FALSE)</f>
        <v>#N/A</v>
      </c>
    </row>
    <row r="96" spans="1:52" x14ac:dyDescent="0.25">
      <c r="A96" s="1091">
        <v>87</v>
      </c>
      <c r="B96" s="1092" t="s">
        <v>69</v>
      </c>
      <c r="C96" s="1097" t="str">
        <f t="shared" si="6"/>
        <v>Tra 01</v>
      </c>
      <c r="D96" s="19" t="s">
        <v>765</v>
      </c>
      <c r="E96" s="875" t="str">
        <f>VLOOKUP(D96,Poeng!$B$10:$Q$251,Poeng!D$1,FALSE)</f>
        <v xml:space="preserve">Travel plan emissions evaluation </v>
      </c>
      <c r="F96" s="122">
        <f>VLOOKUP(D96,Poeng!$B$10:$AA$251,Poeng!AA$1,FALSE)</f>
        <v>1</v>
      </c>
      <c r="G96" s="43"/>
      <c r="H96" s="123">
        <f>VLOOKUP(D96,Poeng!$B$10:$AD$251,Poeng!AD$1,FALSE)</f>
        <v>0</v>
      </c>
      <c r="I96" s="124" t="str">
        <f>VLOOKUP(D96,Poeng!$B$10:$BD$251,Poeng!BD$1,FALSE)</f>
        <v>Very Good</v>
      </c>
      <c r="J96" s="80"/>
      <c r="K96" s="281"/>
      <c r="L96" s="809"/>
      <c r="M96" s="829"/>
      <c r="N96" s="83"/>
      <c r="O96" s="123">
        <f>VLOOKUP(D96,Poeng!$B$10:$BB$251,Poeng!AE$1,FALSE)</f>
        <v>0</v>
      </c>
      <c r="P96" s="123" t="str">
        <f>VLOOKUP(D96,Poeng!$B$10:$BG$251,Poeng!BG$1,FALSE)</f>
        <v>Very Good</v>
      </c>
      <c r="Q96" s="755"/>
      <c r="R96" s="756"/>
      <c r="S96" s="749"/>
      <c r="T96" s="319"/>
      <c r="U96" s="83"/>
      <c r="V96" s="123">
        <f>VLOOKUP(D96,Poeng!$B$10:$BB$251,Poeng!AF$1,FALSE)</f>
        <v>0</v>
      </c>
      <c r="W96" s="123" t="str">
        <f>VLOOKUP(D96,Poeng!$B$10:$BJ$251,Poeng!BJ$1,FALSE)</f>
        <v>Very Good</v>
      </c>
      <c r="X96" s="81"/>
      <c r="Y96" s="80"/>
      <c r="Z96" s="749"/>
      <c r="AC96" s="107">
        <f t="shared" si="11"/>
        <v>1</v>
      </c>
      <c r="AD96" s="3" t="e">
        <f>VLOOKUP(K96,'Assessment Details'!$O$45:$P$48,2,FALSE)</f>
        <v>#N/A</v>
      </c>
      <c r="AE96" s="3" t="e">
        <f>VLOOKUP(R96,'Assessment Details'!$O$45:$P$48,2,FALSE)</f>
        <v>#N/A</v>
      </c>
      <c r="AF96" s="3" t="e">
        <f>VLOOKUP(Y96,'Assessment Details'!$O$45:$P$48,2,FALSE)</f>
        <v>#N/A</v>
      </c>
    </row>
    <row r="97" spans="1:52" x14ac:dyDescent="0.25">
      <c r="A97" s="1091">
        <v>88</v>
      </c>
      <c r="B97" s="1092" t="s">
        <v>69</v>
      </c>
      <c r="C97" s="938" t="s">
        <v>150</v>
      </c>
      <c r="D97" s="837" t="s">
        <v>150</v>
      </c>
      <c r="E97" s="874" t="str">
        <f>VLOOKUP(D97,Poeng!$B$10:$Q$251,Poeng!D$1,FALSE)</f>
        <v>Tra 02 Sustainable transport measures</v>
      </c>
      <c r="F97" s="879">
        <f>VLOOKUP(D97,Poeng!$B$10:$AA$251,Poeng!AA$1,FALSE)</f>
        <v>10</v>
      </c>
      <c r="G97" s="1015"/>
      <c r="H97" s="880" t="str">
        <f>VLOOKUP(D97,Poeng!$B$10:$AH$251,Poeng!AH$1,FALSE)&amp;" c. "&amp;ROUND(VLOOKUP(D97,Poeng!$B$10:$AD$251,Poeng!AD$1,FALSE)*100,1)&amp;" %"</f>
        <v>0 c. 0 %</v>
      </c>
      <c r="I97" s="938" t="str">
        <f>VLOOKUP(D97,Poeng!$B$10:$BD$251,Poeng!BD$1,FALSE)</f>
        <v>N/A</v>
      </c>
      <c r="J97" s="80"/>
      <c r="K97" s="281"/>
      <c r="L97" s="809"/>
      <c r="M97" s="829"/>
      <c r="N97" s="1015"/>
      <c r="O97" s="891" t="str">
        <f>VLOOKUP(D97,Poeng!$B$10:$BB$251,Poeng!AI$1,FALSE)&amp;" c. "&amp;ROUND(VLOOKUP(D97,Poeng!$B$10:$BB$251,Poeng!AE$1,FALSE)*100,1)&amp;" %"</f>
        <v>0 c. 0 %</v>
      </c>
      <c r="P97" s="123" t="str">
        <f>VLOOKUP(D97,Poeng!$B$10:$BG$251,Poeng!BG$1,FALSE)</f>
        <v>N/A</v>
      </c>
      <c r="Q97" s="755"/>
      <c r="R97" s="756"/>
      <c r="S97" s="749"/>
      <c r="T97" s="319"/>
      <c r="U97" s="1015"/>
      <c r="V97" s="891" t="str">
        <f>VLOOKUP(D97,Poeng!$B$10:$BB$251,Poeng!AJ$1,FALSE)&amp;" c. "&amp;ROUND(VLOOKUP(D97,Poeng!$B$10:$BB$251,Poeng!AF$1,FALSE)*100,1)&amp;" %"</f>
        <v>0 c. 0 %</v>
      </c>
      <c r="W97" s="123" t="str">
        <f>VLOOKUP(D97,Poeng!$B$10:$BJ$251,Poeng!BJ$1,FALSE)</f>
        <v>N/A</v>
      </c>
      <c r="X97" s="81"/>
      <c r="Y97" s="80"/>
      <c r="Z97" s="749"/>
      <c r="AA97" s="133"/>
      <c r="AB97" s="648" t="s">
        <v>15</v>
      </c>
      <c r="AC97" s="107">
        <f t="shared" si="11"/>
        <v>1</v>
      </c>
      <c r="AD97" s="3" t="e">
        <f>VLOOKUP(K97,'Assessment Details'!$O$45:$P$48,2,FALSE)</f>
        <v>#N/A</v>
      </c>
      <c r="AE97" s="3" t="e">
        <f>VLOOKUP(R97,'Assessment Details'!$O$45:$P$48,2,FALSE)</f>
        <v>#N/A</v>
      </c>
      <c r="AF97" s="3" t="e">
        <f>VLOOKUP(Y97,'Assessment Details'!$O$45:$P$48,2,FALSE)</f>
        <v>#N/A</v>
      </c>
      <c r="AI97" s="70"/>
      <c r="AJ97" s="679" t="s">
        <v>148</v>
      </c>
      <c r="AK97" s="70"/>
      <c r="AL97" s="70"/>
      <c r="AM97" s="70"/>
      <c r="AN97" s="70"/>
      <c r="AO97" s="70"/>
      <c r="AP97" s="70"/>
      <c r="AS97" s="23" t="str">
        <f t="shared" si="12"/>
        <v>N/A</v>
      </c>
      <c r="AT97" s="23" t="str">
        <f t="shared" si="13"/>
        <v>N/A</v>
      </c>
      <c r="AU97" s="23" t="str">
        <f t="shared" si="14"/>
        <v>N/A</v>
      </c>
      <c r="AV97" s="23"/>
      <c r="AW97" s="23"/>
      <c r="AX97" s="23"/>
      <c r="AZ97" s="648"/>
    </row>
    <row r="98" spans="1:52" x14ac:dyDescent="0.25">
      <c r="A98" s="1091">
        <v>89</v>
      </c>
      <c r="B98" s="1092" t="s">
        <v>69</v>
      </c>
      <c r="C98" s="1097" t="str">
        <f t="shared" si="6"/>
        <v>Tra 02</v>
      </c>
      <c r="D98" s="837" t="s">
        <v>766</v>
      </c>
      <c r="E98" s="875" t="str">
        <f>VLOOKUP(D98,Poeng!$B$10:$Q$251,Poeng!D$1,FALSE)</f>
        <v>Pre-requisite: transport assessment and travel plan</v>
      </c>
      <c r="F98" s="122" t="str">
        <f>VLOOKUP(D98,Poeng!$B$10:$AA$251,Poeng!AA$1,FALSE)</f>
        <v>Yes/No</v>
      </c>
      <c r="G98" s="43"/>
      <c r="H98" s="123" t="str">
        <f>VLOOKUP(D98,Poeng!$B$10:$AD$251,Poeng!AD$1,FALSE)</f>
        <v>-</v>
      </c>
      <c r="I98" s="124" t="str">
        <f>VLOOKUP(D98,Poeng!$B$10:$BD$251,Poeng!BD$1,FALSE)</f>
        <v>N/A</v>
      </c>
      <c r="J98" s="80"/>
      <c r="K98" s="281"/>
      <c r="L98" s="809"/>
      <c r="M98" s="829"/>
      <c r="N98" s="83"/>
      <c r="O98" s="123" t="str">
        <f>VLOOKUP(D98,Poeng!$B$10:$BB$251,Poeng!AE$1,FALSE)</f>
        <v>-</v>
      </c>
      <c r="P98" s="123" t="str">
        <f>VLOOKUP(D98,Poeng!$B$10:$BG$251,Poeng!BG$1,FALSE)</f>
        <v>N/A</v>
      </c>
      <c r="Q98" s="755"/>
      <c r="R98" s="756"/>
      <c r="S98" s="749"/>
      <c r="T98" s="319"/>
      <c r="U98" s="83"/>
      <c r="V98" s="123" t="str">
        <f>VLOOKUP(D98,Poeng!$B$10:$BB$251,Poeng!AF$1,FALSE)</f>
        <v>-</v>
      </c>
      <c r="W98" s="123" t="str">
        <f>VLOOKUP(D98,Poeng!$B$10:$BJ$251,Poeng!BJ$1,FALSE)</f>
        <v>N/A</v>
      </c>
      <c r="X98" s="81"/>
      <c r="Y98" s="80"/>
      <c r="Z98" s="749"/>
      <c r="AA98" s="133"/>
      <c r="AB98" s="878"/>
      <c r="AC98" s="107">
        <f t="shared" si="11"/>
        <v>1</v>
      </c>
      <c r="AD98" s="3" t="e">
        <f>VLOOKUP(K98,'Assessment Details'!$O$45:$P$48,2,FALSE)</f>
        <v>#N/A</v>
      </c>
      <c r="AE98" s="3" t="e">
        <f>VLOOKUP(R98,'Assessment Details'!$O$45:$P$48,2,FALSE)</f>
        <v>#N/A</v>
      </c>
      <c r="AF98" s="3" t="e">
        <f>VLOOKUP(Y98,'Assessment Details'!$O$45:$P$48,2,FALSE)</f>
        <v>#N/A</v>
      </c>
      <c r="AI98" s="3"/>
      <c r="AJ98" s="3"/>
      <c r="AK98" s="3"/>
      <c r="AL98" s="3"/>
      <c r="AM98" s="3"/>
      <c r="AN98" s="3"/>
      <c r="AO98" s="3"/>
      <c r="AP98" s="3"/>
      <c r="AS98" s="23"/>
      <c r="AT98" s="23"/>
      <c r="AU98" s="23"/>
      <c r="AV98" s="23"/>
      <c r="AW98" s="23"/>
      <c r="AX98" s="23"/>
      <c r="AZ98" s="878"/>
    </row>
    <row r="99" spans="1:52" x14ac:dyDescent="0.25">
      <c r="A99" s="1091">
        <v>90</v>
      </c>
      <c r="B99" s="1092" t="s">
        <v>69</v>
      </c>
      <c r="C99" s="1097" t="str">
        <f t="shared" si="6"/>
        <v>Tra 02</v>
      </c>
      <c r="D99" s="837" t="s">
        <v>767</v>
      </c>
      <c r="E99" s="875" t="str">
        <f>VLOOKUP(D99,Poeng!$B$10:$Q$251,Poeng!D$1,FALSE)</f>
        <v xml:space="preserve">Transport options implementation </v>
      </c>
      <c r="F99" s="122">
        <f>VLOOKUP(D99,Poeng!$B$10:$AA$251,Poeng!AA$1,FALSE)</f>
        <v>10</v>
      </c>
      <c r="G99" s="43"/>
      <c r="H99" s="123">
        <f>VLOOKUP(D99,Poeng!$B$10:$AD$251,Poeng!AD$1,FALSE)</f>
        <v>0</v>
      </c>
      <c r="I99" s="124" t="str">
        <f>VLOOKUP(D99,Poeng!$B$10:$BD$251,Poeng!BD$1,FALSE)</f>
        <v>N/A</v>
      </c>
      <c r="J99" s="80"/>
      <c r="K99" s="281"/>
      <c r="L99" s="809"/>
      <c r="M99" s="829"/>
      <c r="N99" s="83"/>
      <c r="O99" s="123">
        <f>VLOOKUP(D99,Poeng!$B$10:$BB$251,Poeng!AE$1,FALSE)</f>
        <v>0</v>
      </c>
      <c r="P99" s="123" t="str">
        <f>VLOOKUP(D99,Poeng!$B$10:$BG$251,Poeng!BG$1,FALSE)</f>
        <v>N/A</v>
      </c>
      <c r="Q99" s="755"/>
      <c r="R99" s="756"/>
      <c r="S99" s="1110"/>
      <c r="T99" s="319"/>
      <c r="U99" s="83"/>
      <c r="V99" s="123">
        <f>VLOOKUP(D99,Poeng!$B$10:$BB$251,Poeng!AF$1,FALSE)</f>
        <v>0</v>
      </c>
      <c r="W99" s="123" t="str">
        <f>VLOOKUP(D99,Poeng!$B$10:$BJ$251,Poeng!BJ$1,FALSE)</f>
        <v>N/A</v>
      </c>
      <c r="X99" s="81"/>
      <c r="Y99" s="80"/>
      <c r="Z99" s="1110"/>
      <c r="AA99" s="133"/>
      <c r="AB99" s="725"/>
      <c r="AC99" s="107">
        <f t="shared" si="11"/>
        <v>1</v>
      </c>
      <c r="AD99" s="3" t="e">
        <f>VLOOKUP(K99,'Assessment Details'!$O$45:$P$48,2,FALSE)</f>
        <v>#N/A</v>
      </c>
      <c r="AE99" s="3" t="e">
        <f>VLOOKUP(R99,'Assessment Details'!$O$45:$P$48,2,FALSE)</f>
        <v>#N/A</v>
      </c>
      <c r="AF99" s="3" t="e">
        <f>VLOOKUP(Y99,'Assessment Details'!$O$45:$P$48,2,FALSE)</f>
        <v>#N/A</v>
      </c>
      <c r="AI99" s="70"/>
      <c r="AJ99" s="679"/>
      <c r="AK99" s="70"/>
      <c r="AL99" s="70"/>
      <c r="AM99" s="70"/>
      <c r="AN99" s="70"/>
      <c r="AO99" s="70"/>
      <c r="AP99" s="70"/>
      <c r="AS99" s="23"/>
      <c r="AT99" s="23"/>
      <c r="AU99" s="23"/>
      <c r="AV99" s="23"/>
      <c r="AW99" s="23"/>
      <c r="AX99" s="23"/>
      <c r="AZ99" s="725"/>
    </row>
    <row r="100" spans="1:52" ht="15.75" thickBot="1" x14ac:dyDescent="0.3">
      <c r="A100" s="1091">
        <v>91</v>
      </c>
      <c r="B100" s="1092" t="s">
        <v>69</v>
      </c>
      <c r="C100" s="1098"/>
      <c r="D100" s="837" t="s">
        <v>889</v>
      </c>
      <c r="E100" s="320" t="s">
        <v>108</v>
      </c>
      <c r="F100" s="125">
        <f>Tra_Credits</f>
        <v>13</v>
      </c>
      <c r="G100" s="131"/>
      <c r="H100" s="126">
        <f>Tra_cont_tot</f>
        <v>0</v>
      </c>
      <c r="I100" s="881" t="str">
        <f>"Credits achieved: "&amp;Tra_tot_user</f>
        <v>Credits achieved: 0</v>
      </c>
      <c r="J100" s="134"/>
      <c r="K100" s="282"/>
      <c r="L100" s="757"/>
      <c r="M100" s="829"/>
      <c r="N100" s="383"/>
      <c r="O100" s="126">
        <f>VLOOKUP(D100,Poeng!$B$10:$BB$251,Poeng!AE$1,FALSE)</f>
        <v>0</v>
      </c>
      <c r="P100" s="881" t="str">
        <f>"Credits achieved: "&amp;Tra_d_user</f>
        <v>Credits achieved: 0</v>
      </c>
      <c r="Q100" s="758"/>
      <c r="R100" s="759"/>
      <c r="S100" s="757"/>
      <c r="T100" s="319"/>
      <c r="U100" s="383"/>
      <c r="V100" s="126">
        <f>VLOOKUP(D100,Poeng!$B$10:$BB$251,Poeng!AF$1,FALSE)</f>
        <v>0</v>
      </c>
      <c r="W100" s="881" t="str">
        <f>"Credits achieved: "&amp;Tra_c_user</f>
        <v>Credits achieved: 0</v>
      </c>
      <c r="X100" s="382"/>
      <c r="Y100" s="136"/>
      <c r="Z100" s="757"/>
      <c r="AA100" s="133"/>
      <c r="AB100" s="649"/>
      <c r="AC100" s="107">
        <f t="shared" si="11"/>
        <v>1</v>
      </c>
      <c r="AD100" s="276">
        <v>0</v>
      </c>
      <c r="AE100" s="276">
        <v>0</v>
      </c>
      <c r="AF100" s="276">
        <v>0</v>
      </c>
      <c r="AI100" s="70"/>
      <c r="AJ100" s="679" t="s">
        <v>108</v>
      </c>
      <c r="AK100" s="70"/>
      <c r="AL100" s="70"/>
      <c r="AM100" s="70"/>
      <c r="AN100" s="70"/>
      <c r="AO100" s="70"/>
      <c r="AP100" s="70"/>
      <c r="AS100" s="23" t="str">
        <f t="shared" si="12"/>
        <v>N/A</v>
      </c>
      <c r="AT100" s="23" t="str">
        <f t="shared" si="13"/>
        <v>N/A</v>
      </c>
      <c r="AU100" s="23" t="str">
        <f t="shared" si="14"/>
        <v>N/A</v>
      </c>
      <c r="AV100" s="23"/>
      <c r="AW100" s="23"/>
      <c r="AX100" s="23"/>
      <c r="AZ100" s="649"/>
    </row>
    <row r="101" spans="1:52" x14ac:dyDescent="0.25">
      <c r="A101" s="1091">
        <v>92</v>
      </c>
      <c r="B101" s="1092" t="s">
        <v>69</v>
      </c>
      <c r="C101" s="322"/>
      <c r="D101" s="837"/>
      <c r="E101" s="321"/>
      <c r="F101" s="322"/>
      <c r="G101" s="323"/>
      <c r="H101" s="322"/>
      <c r="I101" s="992"/>
      <c r="J101" s="324"/>
      <c r="K101" s="323"/>
      <c r="L101" s="760"/>
      <c r="M101" s="828"/>
      <c r="N101" s="325"/>
      <c r="O101" s="325"/>
      <c r="P101" s="760"/>
      <c r="Q101" s="760"/>
      <c r="R101" s="761"/>
      <c r="S101" s="1109"/>
      <c r="T101" s="326"/>
      <c r="U101" s="325"/>
      <c r="V101" s="325"/>
      <c r="W101" s="760"/>
      <c r="X101" s="324"/>
      <c r="Y101" s="325"/>
      <c r="Z101" s="1109"/>
      <c r="AA101" s="710"/>
      <c r="AB101" s="324"/>
      <c r="AC101" s="107">
        <f t="shared" si="11"/>
        <v>1</v>
      </c>
      <c r="AD101" s="278">
        <v>0</v>
      </c>
      <c r="AE101" s="278">
        <v>0</v>
      </c>
      <c r="AF101" s="278">
        <v>0</v>
      </c>
      <c r="AI101" s="70"/>
      <c r="AJ101" s="679"/>
      <c r="AK101" s="70"/>
      <c r="AL101" s="70"/>
      <c r="AM101" s="70"/>
      <c r="AN101" s="70"/>
      <c r="AO101" s="70"/>
      <c r="AP101" s="70"/>
      <c r="AS101" s="23" t="str">
        <f t="shared" si="12"/>
        <v>N/A</v>
      </c>
      <c r="AT101" s="23" t="str">
        <f t="shared" si="13"/>
        <v>N/A</v>
      </c>
      <c r="AU101" s="23" t="str">
        <f t="shared" si="14"/>
        <v>N/A</v>
      </c>
      <c r="AV101" s="23"/>
      <c r="AW101" s="23"/>
      <c r="AX101" s="23"/>
      <c r="AZ101" s="324"/>
    </row>
    <row r="102" spans="1:52" ht="18.75" x14ac:dyDescent="0.25">
      <c r="A102" s="1091">
        <v>93</v>
      </c>
      <c r="B102" s="1090" t="s">
        <v>61</v>
      </c>
      <c r="C102" s="1099"/>
      <c r="D102" s="836"/>
      <c r="E102" s="327" t="s">
        <v>56</v>
      </c>
      <c r="F102" s="315"/>
      <c r="G102" s="316"/>
      <c r="H102" s="336"/>
      <c r="I102" s="315"/>
      <c r="J102" s="328"/>
      <c r="K102" s="329"/>
      <c r="L102" s="763"/>
      <c r="M102" s="829"/>
      <c r="N102" s="339"/>
      <c r="O102" s="332"/>
      <c r="P102" s="753"/>
      <c r="Q102" s="764"/>
      <c r="R102" s="765"/>
      <c r="S102" s="766"/>
      <c r="T102" s="319"/>
      <c r="U102" s="339"/>
      <c r="V102" s="338"/>
      <c r="W102" s="753"/>
      <c r="X102" s="328"/>
      <c r="Y102" s="338"/>
      <c r="Z102" s="763"/>
      <c r="AA102" s="133"/>
      <c r="AB102" s="337"/>
      <c r="AC102" s="107">
        <f t="shared" si="11"/>
        <v>1</v>
      </c>
      <c r="AD102" s="275">
        <v>0</v>
      </c>
      <c r="AE102" s="275">
        <v>0</v>
      </c>
      <c r="AF102" s="275">
        <v>0</v>
      </c>
      <c r="AI102" s="70"/>
      <c r="AJ102" s="679" t="s">
        <v>56</v>
      </c>
      <c r="AK102" s="70"/>
      <c r="AL102" s="70"/>
      <c r="AM102" s="70"/>
      <c r="AN102" s="70"/>
      <c r="AO102" s="70"/>
      <c r="AP102" s="70"/>
      <c r="AS102" s="23" t="str">
        <f t="shared" si="12"/>
        <v>N/A</v>
      </c>
      <c r="AT102" s="23" t="str">
        <f t="shared" si="13"/>
        <v>N/A</v>
      </c>
      <c r="AU102" s="23" t="str">
        <f t="shared" si="14"/>
        <v>N/A</v>
      </c>
      <c r="AV102" s="23"/>
      <c r="AW102" s="23"/>
      <c r="AX102" s="23"/>
      <c r="AZ102" s="337"/>
    </row>
    <row r="103" spans="1:52" x14ac:dyDescent="0.25">
      <c r="A103" s="1091">
        <v>94</v>
      </c>
      <c r="B103" s="1090" t="s">
        <v>61</v>
      </c>
      <c r="C103" s="938" t="s">
        <v>171</v>
      </c>
      <c r="D103" s="837" t="s">
        <v>171</v>
      </c>
      <c r="E103" s="874" t="str">
        <f>VLOOKUP(D103,Poeng!$B$10:$Q$251,Poeng!D$1,FALSE)</f>
        <v>Wat 01 Water consumption</v>
      </c>
      <c r="F103" s="879">
        <f>VLOOKUP(D103,Poeng!$B$10:$AA$251,Poeng!AA$1,FALSE)</f>
        <v>5</v>
      </c>
      <c r="G103" s="1014"/>
      <c r="H103" s="880" t="str">
        <f>VLOOKUP(D103,Poeng!$B$10:$AH$251,Poeng!AH$1,FALSE)&amp;" c. "&amp;ROUND(VLOOKUP(D103,Poeng!$B$10:$AD$251,Poeng!AD$1,FALSE)*100,1)&amp;" %"</f>
        <v>0 c. 0 %</v>
      </c>
      <c r="I103" s="937" t="str">
        <f>VLOOKUP(D103,Poeng!$B$10:$BD$251,Poeng!BD$1,FALSE)</f>
        <v>N/A</v>
      </c>
      <c r="J103" s="888"/>
      <c r="K103" s="889"/>
      <c r="L103" s="890"/>
      <c r="M103" s="828"/>
      <c r="N103" s="1015"/>
      <c r="O103" s="1108" t="str">
        <f>VLOOKUP(D103,Poeng!$B$10:$BB$251,Poeng!AI$1,FALSE)&amp;" c. "&amp;ROUND(VLOOKUP(D103,Poeng!$B$10:$BB$251,Poeng!AE$1,FALSE)*100,1)&amp;" %"</f>
        <v>0 c. 0 %</v>
      </c>
      <c r="P103" s="123" t="str">
        <f>VLOOKUP(D103,Poeng!$B$10:$BG$251,Poeng!BG$1,FALSE)</f>
        <v>N/A</v>
      </c>
      <c r="Q103" s="755"/>
      <c r="R103" s="756"/>
      <c r="S103" s="749"/>
      <c r="T103" s="319"/>
      <c r="U103" s="1015"/>
      <c r="V103" s="891" t="str">
        <f>VLOOKUP(D103,Poeng!$B$10:$BB$251,Poeng!AJ$1,FALSE)&amp;" c. "&amp;ROUND(VLOOKUP(D103,Poeng!$B$10:$BB$251,Poeng!AF$1,FALSE)*100,1)&amp;" %"</f>
        <v>0 c. 0 %</v>
      </c>
      <c r="W103" s="123" t="str">
        <f>VLOOKUP(D103,Poeng!$B$10:$BJ$251,Poeng!BJ$1,FALSE)</f>
        <v>N/A</v>
      </c>
      <c r="X103" s="81"/>
      <c r="Y103" s="80"/>
      <c r="Z103" s="749"/>
      <c r="AA103" s="133"/>
      <c r="AB103" s="648" t="s">
        <v>14</v>
      </c>
      <c r="AC103" s="107">
        <f t="shared" si="11"/>
        <v>1</v>
      </c>
      <c r="AD103" s="3" t="e">
        <f>VLOOKUP(K103,'Assessment Details'!$O$45:$P$48,2,FALSE)</f>
        <v>#N/A</v>
      </c>
      <c r="AE103" s="3" t="e">
        <f>VLOOKUP(R103,'Assessment Details'!$O$45:$P$48,2,FALSE)</f>
        <v>#N/A</v>
      </c>
      <c r="AF103" s="3" t="e">
        <f>VLOOKUP(Y103,'Assessment Details'!$O$45:$P$48,2,FALSE)</f>
        <v>#N/A</v>
      </c>
      <c r="AI103" s="70"/>
      <c r="AJ103" s="679" t="s">
        <v>154</v>
      </c>
      <c r="AK103" s="656" t="s">
        <v>408</v>
      </c>
      <c r="AL103" s="656" t="s">
        <v>410</v>
      </c>
      <c r="AM103" s="70"/>
      <c r="AN103" s="70"/>
      <c r="AO103" s="70"/>
      <c r="AP103" s="70"/>
      <c r="AR103" s="1" t="s">
        <v>14</v>
      </c>
      <c r="AS103" s="23" t="str">
        <f t="shared" si="12"/>
        <v>N/A</v>
      </c>
      <c r="AT103" s="23" t="str">
        <f t="shared" si="13"/>
        <v>N/A</v>
      </c>
      <c r="AU103" s="23" t="str">
        <f t="shared" si="14"/>
        <v>N/A</v>
      </c>
      <c r="AV103" s="23"/>
      <c r="AW103" s="23"/>
      <c r="AX103" s="23"/>
      <c r="AZ103" s="648"/>
    </row>
    <row r="104" spans="1:52" x14ac:dyDescent="0.25">
      <c r="A104" s="1091">
        <v>95</v>
      </c>
      <c r="B104" s="1090" t="s">
        <v>61</v>
      </c>
      <c r="C104" s="1097" t="str">
        <f>C103</f>
        <v>Wat 01</v>
      </c>
      <c r="D104" s="837" t="s">
        <v>1044</v>
      </c>
      <c r="E104" s="875" t="str">
        <f>VLOOKUP(D104,Poeng!$B$10:$Q$256,Poeng!D$1,FALSE)</f>
        <v>EU taxonomy requirements: criterion 1-3</v>
      </c>
      <c r="F104" s="122" t="str">
        <f>VLOOKUP(D104,Poeng!$B$10:$AA$256,Poeng!AA$1,FALSE)</f>
        <v>Yes/No</v>
      </c>
      <c r="G104" s="43"/>
      <c r="H104" s="123" t="str">
        <f>VLOOKUP(D104,Poeng!$B$10:$AD$256,Poeng!AD$1,FALSE)</f>
        <v>-</v>
      </c>
      <c r="I104" s="124" t="str">
        <f>VLOOKUP(D104,Poeng!$B$10:$BD$256,Poeng!BD$1,FALSE)</f>
        <v>N/A</v>
      </c>
      <c r="J104" s="1134"/>
      <c r="K104" s="1135"/>
      <c r="L104" s="1136"/>
      <c r="M104" s="828"/>
      <c r="N104" s="83"/>
      <c r="O104" s="123" t="str">
        <f>VLOOKUP(D104,Poeng!$B$10:$BB$256,Poeng!AE$1,FALSE)</f>
        <v>-</v>
      </c>
      <c r="P104" s="123" t="str">
        <f>VLOOKUP(D104,Poeng!$B$10:$BG$256,Poeng!BG$1,FALSE)</f>
        <v>N/A</v>
      </c>
      <c r="Q104" s="755"/>
      <c r="R104" s="756"/>
      <c r="S104" s="749"/>
      <c r="T104" s="319"/>
      <c r="U104" s="83"/>
      <c r="V104" s="123" t="str">
        <f>VLOOKUP(D104,Poeng!$B$10:$BB$256,Poeng!AF$1,FALSE)</f>
        <v>-</v>
      </c>
      <c r="W104" s="123" t="str">
        <f>VLOOKUP(D104,Poeng!$B$10:$BJ$256,Poeng!BJ$1,FALSE)</f>
        <v>N/A</v>
      </c>
      <c r="X104" s="81"/>
      <c r="Y104" s="80"/>
      <c r="Z104" s="749"/>
      <c r="AA104" s="133"/>
      <c r="AB104" s="648"/>
      <c r="AC104" s="107">
        <f t="shared" ref="AC104" si="15">IF(F104="",1,IF(F104=0,2,1))</f>
        <v>1</v>
      </c>
      <c r="AD104" s="3" t="e">
        <f>VLOOKUP(K104,'Assessment Details'!$O$45:$P$48,2,FALSE)</f>
        <v>#N/A</v>
      </c>
      <c r="AE104" s="3" t="e">
        <f>VLOOKUP(R104,'Assessment Details'!$O$45:$P$48,2,FALSE)</f>
        <v>#N/A</v>
      </c>
      <c r="AF104" s="3" t="e">
        <f>VLOOKUP(Y104,'Assessment Details'!$O$45:$P$48,2,FALSE)</f>
        <v>#N/A</v>
      </c>
      <c r="AI104" s="70"/>
      <c r="AJ104" s="679"/>
      <c r="AK104" s="656"/>
      <c r="AL104" s="656"/>
      <c r="AM104" s="70"/>
      <c r="AN104" s="70"/>
      <c r="AO104" s="70"/>
      <c r="AP104" s="70"/>
      <c r="AS104" s="23"/>
      <c r="AT104" s="23"/>
      <c r="AU104" s="23"/>
      <c r="AV104" s="23"/>
      <c r="AW104" s="23"/>
      <c r="AX104" s="23"/>
      <c r="AZ104" s="648"/>
    </row>
    <row r="105" spans="1:52" x14ac:dyDescent="0.25">
      <c r="A105" s="1091">
        <v>96</v>
      </c>
      <c r="B105" s="1090" t="s">
        <v>61</v>
      </c>
      <c r="C105" s="1097" t="str">
        <f>C103</f>
        <v>Wat 01</v>
      </c>
      <c r="D105" s="837" t="s">
        <v>768</v>
      </c>
      <c r="E105" s="875" t="str">
        <f>VLOOKUP(D105,Poeng!$B$10:$Q$251,Poeng!D$1,FALSE)</f>
        <v>Water efficient components</v>
      </c>
      <c r="F105" s="122">
        <f>VLOOKUP(D105,Poeng!$B$10:$AA$251,Poeng!AA$1,FALSE)</f>
        <v>5</v>
      </c>
      <c r="G105" s="43"/>
      <c r="H105" s="123">
        <f>VLOOKUP(D105,Poeng!$B$10:$AD$251,Poeng!AD$1,FALSE)</f>
        <v>0</v>
      </c>
      <c r="I105" s="124" t="str">
        <f>VLOOKUP(D105,Poeng!$B$10:$BD$251,Poeng!BD$1,FALSE)</f>
        <v>Very Good</v>
      </c>
      <c r="J105" s="80"/>
      <c r="K105" s="281"/>
      <c r="L105" s="809"/>
      <c r="M105" s="829"/>
      <c r="N105" s="83"/>
      <c r="O105" s="123">
        <f>VLOOKUP(D105,Poeng!$B$10:$BB$251,Poeng!AE$1,FALSE)</f>
        <v>0</v>
      </c>
      <c r="P105" s="123" t="str">
        <f>VLOOKUP(D105,Poeng!$B$10:$BG$251,Poeng!BG$1,FALSE)</f>
        <v>Very Good</v>
      </c>
      <c r="Q105" s="755"/>
      <c r="R105" s="756"/>
      <c r="S105" s="749"/>
      <c r="T105" s="319"/>
      <c r="U105" s="83"/>
      <c r="V105" s="123">
        <f>VLOOKUP(D105,Poeng!$B$10:$BB$251,Poeng!AF$1,FALSE)</f>
        <v>0</v>
      </c>
      <c r="W105" s="123" t="str">
        <f>VLOOKUP(D105,Poeng!$B$10:$BJ$251,Poeng!BJ$1,FALSE)</f>
        <v>Very Good</v>
      </c>
      <c r="X105" s="81"/>
      <c r="Y105" s="80"/>
      <c r="Z105" s="1110"/>
      <c r="AA105" s="133"/>
      <c r="AB105" s="648"/>
      <c r="AC105" s="107">
        <f t="shared" si="11"/>
        <v>1</v>
      </c>
      <c r="AD105" s="3" t="e">
        <f>VLOOKUP(K105,'Assessment Details'!$O$45:$P$48,2,FALSE)</f>
        <v>#N/A</v>
      </c>
      <c r="AE105" s="3" t="e">
        <f>VLOOKUP(R105,'Assessment Details'!$O$45:$P$48,2,FALSE)</f>
        <v>#N/A</v>
      </c>
      <c r="AF105" s="3" t="e">
        <f>VLOOKUP(Y105,'Assessment Details'!$O$45:$P$48,2,FALSE)</f>
        <v>#N/A</v>
      </c>
      <c r="AI105" s="70"/>
      <c r="AJ105" s="679"/>
      <c r="AK105" s="656"/>
      <c r="AL105" s="656"/>
      <c r="AM105" s="70"/>
      <c r="AN105" s="70"/>
      <c r="AO105" s="70"/>
      <c r="AP105" s="70"/>
      <c r="AS105" s="23"/>
      <c r="AT105" s="23"/>
      <c r="AU105" s="23"/>
      <c r="AV105" s="23"/>
      <c r="AW105" s="23"/>
      <c r="AX105" s="23"/>
      <c r="AZ105" s="648"/>
    </row>
    <row r="106" spans="1:52" x14ac:dyDescent="0.25">
      <c r="A106" s="1091">
        <v>97</v>
      </c>
      <c r="B106" s="1090" t="s">
        <v>61</v>
      </c>
      <c r="C106" s="938" t="s">
        <v>172</v>
      </c>
      <c r="D106" s="837" t="s">
        <v>172</v>
      </c>
      <c r="E106" s="874" t="str">
        <f>VLOOKUP(D106,Poeng!$B$10:$Q$251,Poeng!D$1,FALSE)</f>
        <v>Wat 02 Water monitoring</v>
      </c>
      <c r="F106" s="879">
        <f>VLOOKUP(D106,Poeng!$B$10:$AA$251,Poeng!AA$1,FALSE)</f>
        <v>1</v>
      </c>
      <c r="G106" s="1015"/>
      <c r="H106" s="880" t="str">
        <f>VLOOKUP(D106,Poeng!$B$10:$AH$251,Poeng!AH$1,FALSE)&amp;" c. "&amp;ROUND(VLOOKUP(D106,Poeng!$B$10:$AD$251,Poeng!AD$1,FALSE)*100,1)&amp;" %"</f>
        <v>0 c. 0 %</v>
      </c>
      <c r="I106" s="938" t="str">
        <f>VLOOKUP(D106,Poeng!$B$10:$BD$251,Poeng!BD$1,FALSE)</f>
        <v>N/A</v>
      </c>
      <c r="J106" s="80"/>
      <c r="K106" s="281"/>
      <c r="L106" s="809"/>
      <c r="M106" s="829"/>
      <c r="N106" s="1015"/>
      <c r="O106" s="891" t="str">
        <f>VLOOKUP(D106,Poeng!$B$10:$BB$251,Poeng!AI$1,FALSE)&amp;" c. "&amp;ROUND(VLOOKUP(D106,Poeng!$B$10:$BB$251,Poeng!AE$1,FALSE)*100,1)&amp;" %"</f>
        <v>0 c. 0 %</v>
      </c>
      <c r="P106" s="123" t="str">
        <f>VLOOKUP(D106,Poeng!$B$10:$BG$251,Poeng!BG$1,FALSE)</f>
        <v>N/A</v>
      </c>
      <c r="Q106" s="755"/>
      <c r="R106" s="756"/>
      <c r="S106" s="749"/>
      <c r="T106" s="319"/>
      <c r="U106" s="1015"/>
      <c r="V106" s="891" t="str">
        <f>VLOOKUP(D106,Poeng!$B$10:$BB$251,Poeng!AJ$1,FALSE)&amp;" c. "&amp;ROUND(VLOOKUP(D106,Poeng!$B$10:$BB$251,Poeng!AF$1,FALSE)*100,1)&amp;" %"</f>
        <v>0 c. 0 %</v>
      </c>
      <c r="W106" s="123" t="str">
        <f>VLOOKUP(D106,Poeng!$B$10:$BJ$251,Poeng!BJ$1,FALSE)</f>
        <v>N/A</v>
      </c>
      <c r="X106" s="81"/>
      <c r="Y106" s="80"/>
      <c r="Z106" s="749"/>
      <c r="AA106" s="133"/>
      <c r="AB106" s="648" t="s">
        <v>14</v>
      </c>
      <c r="AC106" s="107">
        <f t="shared" si="11"/>
        <v>1</v>
      </c>
      <c r="AD106" s="3" t="e">
        <f>VLOOKUP(K106,'Assessment Details'!$O$45:$P$48,2,FALSE)</f>
        <v>#N/A</v>
      </c>
      <c r="AE106" s="3" t="e">
        <f>VLOOKUP(R106,'Assessment Details'!$O$45:$P$48,2,FALSE)</f>
        <v>#N/A</v>
      </c>
      <c r="AF106" s="3" t="e">
        <f>VLOOKUP(Y106,'Assessment Details'!$O$45:$P$48,2,FALSE)</f>
        <v>#N/A</v>
      </c>
      <c r="AI106" s="70" t="str">
        <f>ais_yes</f>
        <v>Ja</v>
      </c>
      <c r="AJ106" s="679" t="s">
        <v>155</v>
      </c>
      <c r="AK106" s="656" t="s">
        <v>408</v>
      </c>
      <c r="AL106" s="656" t="s">
        <v>412</v>
      </c>
      <c r="AM106" s="656" t="s">
        <v>410</v>
      </c>
      <c r="AN106" s="70"/>
      <c r="AO106" s="70"/>
      <c r="AP106" s="70"/>
      <c r="AR106" s="1" t="s">
        <v>14</v>
      </c>
      <c r="AS106" s="23" t="str">
        <f t="shared" si="12"/>
        <v>N/A</v>
      </c>
      <c r="AT106" s="23" t="str">
        <f t="shared" si="13"/>
        <v>N/A</v>
      </c>
      <c r="AU106" s="23" t="str">
        <f t="shared" si="14"/>
        <v>N/A</v>
      </c>
      <c r="AV106" s="23"/>
      <c r="AW106" s="23"/>
      <c r="AX106" s="23"/>
      <c r="AZ106" s="648"/>
    </row>
    <row r="107" spans="1:52" x14ac:dyDescent="0.25">
      <c r="A107" s="1091">
        <v>98</v>
      </c>
      <c r="B107" s="1090" t="s">
        <v>61</v>
      </c>
      <c r="C107" s="1097" t="str">
        <f t="shared" ref="C107" si="16">C106</f>
        <v>Wat 02</v>
      </c>
      <c r="D107" s="837" t="s">
        <v>769</v>
      </c>
      <c r="E107" s="875" t="str">
        <f>VLOOKUP(D107,Poeng!$B$10:$Q$251,Poeng!D$1,FALSE)</f>
        <v>Water meter</v>
      </c>
      <c r="F107" s="122">
        <f>VLOOKUP(D107,Poeng!$B$10:$AA$251,Poeng!AA$1,FALSE)</f>
        <v>1</v>
      </c>
      <c r="G107" s="43"/>
      <c r="H107" s="123">
        <f>VLOOKUP(D107,Poeng!$B$10:$AD$251,Poeng!AD$1,FALSE)</f>
        <v>0</v>
      </c>
      <c r="I107" s="124" t="str">
        <f>VLOOKUP(D107,Poeng!$B$10:$BD$251,Poeng!BD$1,FALSE)</f>
        <v>N/A</v>
      </c>
      <c r="J107" s="80"/>
      <c r="K107" s="281"/>
      <c r="L107" s="809"/>
      <c r="M107" s="829"/>
      <c r="N107" s="83"/>
      <c r="O107" s="123">
        <f>VLOOKUP(D107,Poeng!$B$10:$BB$251,Poeng!AE$1,FALSE)</f>
        <v>0</v>
      </c>
      <c r="P107" s="123" t="str">
        <f>VLOOKUP(D107,Poeng!$B$10:$BG$251,Poeng!BG$1,FALSE)</f>
        <v>N/A</v>
      </c>
      <c r="Q107" s="755"/>
      <c r="R107" s="756"/>
      <c r="S107" s="749"/>
      <c r="T107" s="319"/>
      <c r="U107" s="83"/>
      <c r="V107" s="123">
        <f>VLOOKUP(D107,Poeng!$B$10:$BB$251,Poeng!AF$1,FALSE)</f>
        <v>0</v>
      </c>
      <c r="W107" s="123" t="str">
        <f>VLOOKUP(D107,Poeng!$B$10:$BJ$251,Poeng!BJ$1,FALSE)</f>
        <v>N/A</v>
      </c>
      <c r="X107" s="81"/>
      <c r="Y107" s="80"/>
      <c r="Z107" s="749"/>
      <c r="AA107" s="133"/>
      <c r="AB107" s="648"/>
      <c r="AC107" s="107">
        <f t="shared" si="11"/>
        <v>1</v>
      </c>
      <c r="AD107" s="3" t="e">
        <f>VLOOKUP(K107,'Assessment Details'!$O$45:$P$48,2,FALSE)</f>
        <v>#N/A</v>
      </c>
      <c r="AE107" s="3" t="e">
        <f>VLOOKUP(R107,'Assessment Details'!$O$45:$P$48,2,FALSE)</f>
        <v>#N/A</v>
      </c>
      <c r="AF107" s="3" t="e">
        <f>VLOOKUP(Y107,'Assessment Details'!$O$45:$P$48,2,FALSE)</f>
        <v>#N/A</v>
      </c>
      <c r="AI107" s="70"/>
      <c r="AJ107" s="679"/>
      <c r="AK107" s="738"/>
      <c r="AL107" s="738"/>
      <c r="AM107" s="738"/>
      <c r="AN107" s="3"/>
      <c r="AO107" s="70"/>
      <c r="AP107" s="70"/>
      <c r="AS107" s="23"/>
      <c r="AT107" s="23"/>
      <c r="AU107" s="23"/>
      <c r="AV107" s="23"/>
      <c r="AW107" s="23"/>
      <c r="AX107" s="23"/>
      <c r="AZ107" s="648"/>
    </row>
    <row r="108" spans="1:52" x14ac:dyDescent="0.25">
      <c r="A108" s="1091">
        <v>99</v>
      </c>
      <c r="B108" s="1090" t="s">
        <v>61</v>
      </c>
      <c r="C108" s="938" t="s">
        <v>173</v>
      </c>
      <c r="D108" s="837" t="s">
        <v>173</v>
      </c>
      <c r="E108" s="874" t="str">
        <f>VLOOKUP(D108,Poeng!$B$10:$Q$251,Poeng!D$1,FALSE)</f>
        <v>Wat 03 Water leak detection and prevention</v>
      </c>
      <c r="F108" s="879">
        <f>VLOOKUP(D108,Poeng!$B$10:$AA$251,Poeng!AA$1,FALSE)</f>
        <v>2</v>
      </c>
      <c r="G108" s="1015"/>
      <c r="H108" s="880" t="str">
        <f>VLOOKUP(D108,Poeng!$B$10:$AH$251,Poeng!AH$1,FALSE)&amp;" c. "&amp;ROUND(VLOOKUP(D108,Poeng!$B$10:$AD$251,Poeng!AD$1,FALSE)*100,1)&amp;" %"</f>
        <v>0 c. 0 %</v>
      </c>
      <c r="I108" s="938" t="str">
        <f>VLOOKUP(D108,Poeng!$B$10:$BD$251,Poeng!BD$1,FALSE)</f>
        <v>N/A</v>
      </c>
      <c r="J108" s="80"/>
      <c r="K108" s="281"/>
      <c r="L108" s="809"/>
      <c r="M108" s="829"/>
      <c r="N108" s="1015"/>
      <c r="O108" s="891" t="str">
        <f>VLOOKUP(D108,Poeng!$B$10:$BB$251,Poeng!AI$1,FALSE)&amp;" c. "&amp;ROUND(VLOOKUP(D108,Poeng!$B$10:$BB$251,Poeng!AE$1,FALSE)*100,1)&amp;" %"</f>
        <v>0 c. 0 %</v>
      </c>
      <c r="P108" s="123" t="str">
        <f>VLOOKUP(D108,Poeng!$B$10:$BG$251,Poeng!BG$1,FALSE)</f>
        <v>N/A</v>
      </c>
      <c r="Q108" s="755"/>
      <c r="R108" s="756"/>
      <c r="S108" s="749"/>
      <c r="T108" s="319"/>
      <c r="U108" s="1015"/>
      <c r="V108" s="891" t="str">
        <f>VLOOKUP(D108,Poeng!$B$10:$BB$251,Poeng!AJ$1,FALSE)&amp;" c. "&amp;ROUND(VLOOKUP(D108,Poeng!$B$10:$BB$251,Poeng!AF$1,FALSE)*100,1)&amp;" %"</f>
        <v>0 c. 0 %</v>
      </c>
      <c r="W108" s="123" t="str">
        <f>VLOOKUP(D108,Poeng!$B$10:$BJ$251,Poeng!BJ$1,FALSE)</f>
        <v>N/A</v>
      </c>
      <c r="X108" s="81"/>
      <c r="Y108" s="80"/>
      <c r="Z108" s="749"/>
      <c r="AA108" s="133"/>
      <c r="AB108" s="648" t="s">
        <v>14</v>
      </c>
      <c r="AC108" s="107">
        <f t="shared" si="11"/>
        <v>1</v>
      </c>
      <c r="AD108" s="3" t="e">
        <f>VLOOKUP(K108,'Assessment Details'!$O$45:$P$48,2,FALSE)</f>
        <v>#N/A</v>
      </c>
      <c r="AE108" s="3" t="e">
        <f>VLOOKUP(R108,'Assessment Details'!$O$45:$P$48,2,FALSE)</f>
        <v>#N/A</v>
      </c>
      <c r="AF108" s="3" t="e">
        <f>VLOOKUP(Y108,'Assessment Details'!$O$45:$P$48,2,FALSE)</f>
        <v>#N/A</v>
      </c>
      <c r="AI108" s="70" t="str">
        <f>ais_yes</f>
        <v>Ja</v>
      </c>
      <c r="AJ108" s="679" t="s">
        <v>156</v>
      </c>
      <c r="AK108" s="661" t="s">
        <v>451</v>
      </c>
      <c r="AL108" s="661" t="s">
        <v>450</v>
      </c>
      <c r="AM108" s="661" t="s">
        <v>452</v>
      </c>
      <c r="AN108" s="661" t="s">
        <v>442</v>
      </c>
      <c r="AO108" s="70"/>
      <c r="AP108" s="70"/>
      <c r="AR108" s="1" t="s">
        <v>14</v>
      </c>
      <c r="AS108" s="23" t="str">
        <f t="shared" si="12"/>
        <v>N/A</v>
      </c>
      <c r="AT108" s="23" t="str">
        <f t="shared" si="13"/>
        <v>N/A</v>
      </c>
      <c r="AU108" s="23" t="str">
        <f t="shared" si="14"/>
        <v>N/A</v>
      </c>
      <c r="AV108" s="23" t="str">
        <f t="shared" si="14"/>
        <v>N/A</v>
      </c>
      <c r="AW108" s="23"/>
      <c r="AX108" s="23"/>
      <c r="AZ108" s="648"/>
    </row>
    <row r="109" spans="1:52" x14ac:dyDescent="0.25">
      <c r="A109" s="1091">
        <v>100</v>
      </c>
      <c r="B109" s="1090" t="s">
        <v>61</v>
      </c>
      <c r="C109" s="1097" t="str">
        <f t="shared" ref="C109:C111" si="17">C108</f>
        <v>Wat 03</v>
      </c>
      <c r="D109" s="837" t="s">
        <v>770</v>
      </c>
      <c r="E109" s="875" t="str">
        <f>VLOOKUP(D109,Poeng!$B$10:$Q$251,Poeng!D$1,FALSE)</f>
        <v>Leak detection system</v>
      </c>
      <c r="F109" s="122">
        <f>VLOOKUP(D109,Poeng!$B$10:$AA$251,Poeng!AA$1,FALSE)</f>
        <v>1</v>
      </c>
      <c r="G109" s="43"/>
      <c r="H109" s="123">
        <f>VLOOKUP(D109,Poeng!$B$10:$AD$251,Poeng!AD$1,FALSE)</f>
        <v>0</v>
      </c>
      <c r="I109" s="124" t="str">
        <f>VLOOKUP(D109,Poeng!$B$10:$BD$251,Poeng!BD$1,FALSE)</f>
        <v>N/A</v>
      </c>
      <c r="J109" s="80"/>
      <c r="K109" s="281"/>
      <c r="L109" s="809"/>
      <c r="M109" s="829"/>
      <c r="N109" s="83"/>
      <c r="O109" s="123">
        <f>VLOOKUP(D109,Poeng!$B$10:$BB$251,Poeng!AE$1,FALSE)</f>
        <v>0</v>
      </c>
      <c r="P109" s="123" t="str">
        <f>VLOOKUP(D109,Poeng!$B$10:$BG$251,Poeng!BG$1,FALSE)</f>
        <v>N/A</v>
      </c>
      <c r="Q109" s="755"/>
      <c r="R109" s="756"/>
      <c r="S109" s="749"/>
      <c r="T109" s="319"/>
      <c r="U109" s="83"/>
      <c r="V109" s="123">
        <f>VLOOKUP(D109,Poeng!$B$10:$BB$251,Poeng!AF$1,FALSE)</f>
        <v>0</v>
      </c>
      <c r="W109" s="123" t="str">
        <f>VLOOKUP(D109,Poeng!$B$10:$BJ$251,Poeng!BJ$1,FALSE)</f>
        <v>N/A</v>
      </c>
      <c r="X109" s="81"/>
      <c r="Y109" s="80"/>
      <c r="Z109" s="749"/>
      <c r="AA109" s="133"/>
      <c r="AB109" s="648"/>
      <c r="AC109" s="107">
        <f t="shared" si="11"/>
        <v>1</v>
      </c>
      <c r="AD109" s="3" t="e">
        <f>VLOOKUP(K109,'Assessment Details'!$O$45:$P$48,2,FALSE)</f>
        <v>#N/A</v>
      </c>
      <c r="AE109" s="3" t="e">
        <f>VLOOKUP(R109,'Assessment Details'!$O$45:$P$48,2,FALSE)</f>
        <v>#N/A</v>
      </c>
      <c r="AF109" s="3" t="e">
        <f>VLOOKUP(Y109,'Assessment Details'!$O$45:$P$48,2,FALSE)</f>
        <v>#N/A</v>
      </c>
      <c r="AI109" s="70"/>
      <c r="AJ109" s="679"/>
      <c r="AK109" s="661"/>
      <c r="AL109" s="661"/>
      <c r="AM109" s="661"/>
      <c r="AN109" s="661"/>
      <c r="AO109" s="70"/>
      <c r="AP109" s="70"/>
      <c r="AS109" s="23"/>
      <c r="AT109" s="23"/>
      <c r="AU109" s="23"/>
      <c r="AV109" s="23"/>
      <c r="AW109" s="23"/>
      <c r="AX109" s="23"/>
      <c r="AZ109" s="648"/>
    </row>
    <row r="110" spans="1:52" x14ac:dyDescent="0.25">
      <c r="A110" s="1091">
        <v>101</v>
      </c>
      <c r="B110" s="1090" t="s">
        <v>61</v>
      </c>
      <c r="C110" s="1097" t="str">
        <f t="shared" si="17"/>
        <v>Wat 03</v>
      </c>
      <c r="D110" s="837" t="s">
        <v>771</v>
      </c>
      <c r="E110" s="875" t="str">
        <f>VLOOKUP(D110,Poeng!$B$10:$Q$251,Poeng!D$1,FALSE)</f>
        <v>Flow control devices</v>
      </c>
      <c r="F110" s="122">
        <f>VLOOKUP(D110,Poeng!$B$10:$AA$251,Poeng!AA$1,FALSE)</f>
        <v>1</v>
      </c>
      <c r="G110" s="43"/>
      <c r="H110" s="123">
        <f>VLOOKUP(D110,Poeng!$B$10:$AD$251,Poeng!AD$1,FALSE)</f>
        <v>0</v>
      </c>
      <c r="I110" s="124" t="str">
        <f>VLOOKUP(D110,Poeng!$B$10:$BD$251,Poeng!BD$1,FALSE)</f>
        <v>N/A</v>
      </c>
      <c r="J110" s="80"/>
      <c r="K110" s="281"/>
      <c r="L110" s="809"/>
      <c r="M110" s="829"/>
      <c r="N110" s="83"/>
      <c r="O110" s="123">
        <f>VLOOKUP(D110,Poeng!$B$10:$BB$251,Poeng!AE$1,FALSE)</f>
        <v>0</v>
      </c>
      <c r="P110" s="123" t="str">
        <f>VLOOKUP(D110,Poeng!$B$10:$BG$251,Poeng!BG$1,FALSE)</f>
        <v>N/A</v>
      </c>
      <c r="Q110" s="755"/>
      <c r="R110" s="756"/>
      <c r="S110" s="749"/>
      <c r="T110" s="319"/>
      <c r="U110" s="83"/>
      <c r="V110" s="123">
        <f>VLOOKUP(D110,Poeng!$B$10:$BB$251,Poeng!AF$1,FALSE)</f>
        <v>0</v>
      </c>
      <c r="W110" s="123" t="str">
        <f>VLOOKUP(D110,Poeng!$B$10:$BJ$251,Poeng!BJ$1,FALSE)</f>
        <v>N/A</v>
      </c>
      <c r="X110" s="81"/>
      <c r="Y110" s="80"/>
      <c r="Z110" s="749"/>
      <c r="AA110" s="133"/>
      <c r="AB110" s="648"/>
      <c r="AC110" s="107">
        <f t="shared" si="11"/>
        <v>1</v>
      </c>
      <c r="AD110" s="3" t="e">
        <f>VLOOKUP(K110,'Assessment Details'!$O$45:$P$48,2,FALSE)</f>
        <v>#N/A</v>
      </c>
      <c r="AE110" s="3" t="e">
        <f>VLOOKUP(R110,'Assessment Details'!$O$45:$P$48,2,FALSE)</f>
        <v>#N/A</v>
      </c>
      <c r="AF110" s="3" t="e">
        <f>VLOOKUP(Y110,'Assessment Details'!$O$45:$P$48,2,FALSE)</f>
        <v>#N/A</v>
      </c>
      <c r="AI110" s="70"/>
      <c r="AJ110" s="679"/>
      <c r="AK110" s="661"/>
      <c r="AL110" s="661"/>
      <c r="AM110" s="661"/>
      <c r="AN110" s="661"/>
      <c r="AO110" s="70"/>
      <c r="AP110" s="70"/>
      <c r="AS110" s="23"/>
      <c r="AT110" s="23"/>
      <c r="AU110" s="23"/>
      <c r="AV110" s="23"/>
      <c r="AW110" s="23"/>
      <c r="AX110" s="23"/>
      <c r="AZ110" s="648"/>
    </row>
    <row r="111" spans="1:52" x14ac:dyDescent="0.25">
      <c r="A111" s="1091">
        <v>102</v>
      </c>
      <c r="B111" s="1090" t="s">
        <v>61</v>
      </c>
      <c r="C111" s="1097" t="str">
        <f t="shared" si="17"/>
        <v>Wat 03</v>
      </c>
      <c r="D111" s="837" t="s">
        <v>772</v>
      </c>
      <c r="E111" s="875" t="str">
        <f>VLOOKUP(D111,Poeng!$B$10:$Q$251,Poeng!D$1,FALSE)</f>
        <v>Leak isolation</v>
      </c>
      <c r="F111" s="122">
        <f>VLOOKUP(D111,Poeng!$B$10:$AA$251,Poeng!AA$1,FALSE)</f>
        <v>0</v>
      </c>
      <c r="G111" s="43"/>
      <c r="H111" s="123">
        <f>VLOOKUP(D111,Poeng!$B$10:$AD$251,Poeng!AD$1,FALSE)</f>
        <v>0</v>
      </c>
      <c r="I111" s="124" t="str">
        <f>VLOOKUP(D111,Poeng!$B$10:$BD$251,Poeng!BD$1,FALSE)</f>
        <v>N/A</v>
      </c>
      <c r="J111" s="80"/>
      <c r="K111" s="281"/>
      <c r="L111" s="809"/>
      <c r="M111" s="829"/>
      <c r="N111" s="83"/>
      <c r="O111" s="123">
        <f>VLOOKUP(D111,Poeng!$B$10:$BB$251,Poeng!AE$1,FALSE)</f>
        <v>0</v>
      </c>
      <c r="P111" s="123" t="str">
        <f>VLOOKUP(D111,Poeng!$B$10:$BG$251,Poeng!BG$1,FALSE)</f>
        <v>N/A</v>
      </c>
      <c r="Q111" s="755"/>
      <c r="R111" s="756"/>
      <c r="S111" s="749"/>
      <c r="T111" s="319"/>
      <c r="U111" s="83"/>
      <c r="V111" s="123">
        <f>VLOOKUP(D111,Poeng!$B$10:$BB$251,Poeng!AF$1,FALSE)</f>
        <v>0</v>
      </c>
      <c r="W111" s="123" t="str">
        <f>VLOOKUP(D111,Poeng!$B$10:$BJ$251,Poeng!BJ$1,FALSE)</f>
        <v>N/A</v>
      </c>
      <c r="X111" s="81"/>
      <c r="Y111" s="80"/>
      <c r="Z111" s="1110"/>
      <c r="AA111" s="133"/>
      <c r="AB111" s="648"/>
      <c r="AC111" s="107">
        <f t="shared" si="11"/>
        <v>2</v>
      </c>
      <c r="AD111" s="3" t="e">
        <f>VLOOKUP(K111,'Assessment Details'!$O$45:$P$48,2,FALSE)</f>
        <v>#N/A</v>
      </c>
      <c r="AE111" s="3" t="e">
        <f>VLOOKUP(R111,'Assessment Details'!$O$45:$P$48,2,FALSE)</f>
        <v>#N/A</v>
      </c>
      <c r="AF111" s="3" t="e">
        <f>VLOOKUP(Y111,'Assessment Details'!$O$45:$P$48,2,FALSE)</f>
        <v>#N/A</v>
      </c>
      <c r="AI111" s="70"/>
      <c r="AJ111" s="679"/>
      <c r="AK111" s="661"/>
      <c r="AL111" s="661"/>
      <c r="AM111" s="661"/>
      <c r="AN111" s="661"/>
      <c r="AO111" s="70"/>
      <c r="AP111" s="70"/>
      <c r="AS111" s="23"/>
      <c r="AT111" s="23"/>
      <c r="AU111" s="23"/>
      <c r="AV111" s="23"/>
      <c r="AW111" s="23"/>
      <c r="AX111" s="23"/>
      <c r="AZ111" s="648"/>
    </row>
    <row r="112" spans="1:52" x14ac:dyDescent="0.25">
      <c r="A112" s="1091">
        <v>103</v>
      </c>
      <c r="B112" s="1090" t="s">
        <v>61</v>
      </c>
      <c r="C112" s="938" t="s">
        <v>174</v>
      </c>
      <c r="D112" s="837" t="s">
        <v>174</v>
      </c>
      <c r="E112" s="874" t="str">
        <f>VLOOKUP(D112,Poeng!$B$10:$Q$251,Poeng!D$1,FALSE)</f>
        <v>Wat 04 Water efficient equipment</v>
      </c>
      <c r="F112" s="879">
        <f>VLOOKUP(D112,Poeng!$B$10:$AA$251,Poeng!AA$1,FALSE)</f>
        <v>1</v>
      </c>
      <c r="G112" s="1015"/>
      <c r="H112" s="880" t="str">
        <f>VLOOKUP(D112,Poeng!$B$10:$AH$251,Poeng!AH$1,FALSE)&amp;" c. "&amp;ROUND(VLOOKUP(D112,Poeng!$B$10:$AD$251,Poeng!AD$1,FALSE)*100,1)&amp;" %"</f>
        <v>0 c. 0 %</v>
      </c>
      <c r="I112" s="938" t="str">
        <f>VLOOKUP(D112,Poeng!$B$10:$BD$251,Poeng!BD$1,FALSE)</f>
        <v>N/A</v>
      </c>
      <c r="J112" s="80"/>
      <c r="K112" s="281"/>
      <c r="L112" s="809"/>
      <c r="M112" s="829"/>
      <c r="N112" s="1015"/>
      <c r="O112" s="891" t="str">
        <f>VLOOKUP(D112,Poeng!$B$10:$BB$251,Poeng!AI$1,FALSE)&amp;" c. "&amp;ROUND(VLOOKUP(D112,Poeng!$B$10:$BB$251,Poeng!AE$1,FALSE)*100,1)&amp;" %"</f>
        <v>0 c. 0 %</v>
      </c>
      <c r="P112" s="123" t="str">
        <f>VLOOKUP(D112,Poeng!$B$10:$BG$251,Poeng!BG$1,FALSE)</f>
        <v>N/A</v>
      </c>
      <c r="Q112" s="755"/>
      <c r="R112" s="756"/>
      <c r="S112" s="749"/>
      <c r="T112" s="319"/>
      <c r="U112" s="1015"/>
      <c r="V112" s="891" t="str">
        <f>VLOOKUP(D112,Poeng!$B$10:$BB$251,Poeng!AJ$1,FALSE)&amp;" c. "&amp;ROUND(VLOOKUP(D112,Poeng!$B$10:$BB$251,Poeng!AF$1,FALSE)*100,1)&amp;" %"</f>
        <v>0 c. 0 %</v>
      </c>
      <c r="W112" s="123" t="str">
        <f>VLOOKUP(D112,Poeng!$B$10:$BJ$251,Poeng!BJ$1,FALSE)</f>
        <v>N/A</v>
      </c>
      <c r="X112" s="81"/>
      <c r="Y112" s="80"/>
      <c r="Z112" s="749"/>
      <c r="AA112" s="133"/>
      <c r="AB112" s="648" t="s">
        <v>15</v>
      </c>
      <c r="AC112" s="107">
        <f t="shared" si="11"/>
        <v>1</v>
      </c>
      <c r="AD112" s="3" t="e">
        <f>VLOOKUP(K112,'Assessment Details'!$O$45:$P$48,2,FALSE)</f>
        <v>#N/A</v>
      </c>
      <c r="AE112" s="3" t="e">
        <f>VLOOKUP(R112,'Assessment Details'!$O$45:$P$48,2,FALSE)</f>
        <v>#N/A</v>
      </c>
      <c r="AF112" s="3" t="e">
        <f>VLOOKUP(Y112,'Assessment Details'!$O$45:$P$48,2,FALSE)</f>
        <v>#N/A</v>
      </c>
      <c r="AI112" s="70"/>
      <c r="AJ112" s="679" t="s">
        <v>157</v>
      </c>
      <c r="AK112" s="70"/>
      <c r="AL112" s="70"/>
      <c r="AM112" s="70"/>
      <c r="AN112" s="70"/>
      <c r="AO112" s="70"/>
      <c r="AP112" s="70"/>
      <c r="AS112" s="23" t="str">
        <f t="shared" si="12"/>
        <v>N/A</v>
      </c>
      <c r="AT112" s="23" t="str">
        <f t="shared" si="13"/>
        <v>N/A</v>
      </c>
      <c r="AU112" s="23" t="str">
        <f t="shared" si="14"/>
        <v>N/A</v>
      </c>
      <c r="AV112" s="23"/>
      <c r="AW112" s="23"/>
      <c r="AX112" s="23"/>
      <c r="AZ112" s="648"/>
    </row>
    <row r="113" spans="1:52" x14ac:dyDescent="0.25">
      <c r="A113" s="1091">
        <v>104</v>
      </c>
      <c r="B113" s="1090" t="s">
        <v>61</v>
      </c>
      <c r="C113" s="1097" t="str">
        <f t="shared" ref="C113:C206" si="18">C112</f>
        <v>Wat 04</v>
      </c>
      <c r="D113" s="837" t="s">
        <v>773</v>
      </c>
      <c r="E113" s="875" t="str">
        <f>VLOOKUP(D113,Poeng!$B$10:$Q$251,Poeng!D$1,FALSE)</f>
        <v>Water efficient equipment</v>
      </c>
      <c r="F113" s="122">
        <f>VLOOKUP(D113,Poeng!$B$10:$AA$251,Poeng!AA$1,FALSE)</f>
        <v>1</v>
      </c>
      <c r="G113" s="43"/>
      <c r="H113" s="123">
        <f>VLOOKUP(D113,Poeng!$B$10:$AD$251,Poeng!AD$1,FALSE)</f>
        <v>0</v>
      </c>
      <c r="I113" s="124" t="str">
        <f>VLOOKUP(D113,Poeng!$B$10:$BD$251,Poeng!BD$1,FALSE)</f>
        <v>N/A</v>
      </c>
      <c r="J113" s="80"/>
      <c r="K113" s="281"/>
      <c r="L113" s="809"/>
      <c r="M113" s="829"/>
      <c r="N113" s="83"/>
      <c r="O113" s="123">
        <f>VLOOKUP(D113,Poeng!$B$10:$BB$251,Poeng!AE$1,FALSE)</f>
        <v>0</v>
      </c>
      <c r="P113" s="123" t="str">
        <f>VLOOKUP(D113,Poeng!$B$10:$BG$251,Poeng!BG$1,FALSE)</f>
        <v>N/A</v>
      </c>
      <c r="Q113" s="755"/>
      <c r="R113" s="756"/>
      <c r="S113" s="749"/>
      <c r="T113" s="319"/>
      <c r="U113" s="83"/>
      <c r="V113" s="123">
        <f>VLOOKUP(D113,Poeng!$B$10:$BB$251,Poeng!AF$1,FALSE)</f>
        <v>0</v>
      </c>
      <c r="W113" s="123" t="str">
        <f>VLOOKUP(D113,Poeng!$B$10:$BJ$251,Poeng!BJ$1,FALSE)</f>
        <v>N/A</v>
      </c>
      <c r="X113" s="81"/>
      <c r="Y113" s="80"/>
      <c r="Z113" s="749"/>
      <c r="AA113" s="133"/>
      <c r="AB113" s="725"/>
      <c r="AC113" s="107">
        <f t="shared" si="11"/>
        <v>1</v>
      </c>
      <c r="AD113" s="3" t="e">
        <f>VLOOKUP(K113,'Assessment Details'!$O$45:$P$48,2,FALSE)</f>
        <v>#N/A</v>
      </c>
      <c r="AE113" s="3" t="e">
        <f>VLOOKUP(R113,'Assessment Details'!$O$45:$P$48,2,FALSE)</f>
        <v>#N/A</v>
      </c>
      <c r="AF113" s="3" t="e">
        <f>VLOOKUP(Y113,'Assessment Details'!$O$45:$P$48,2,FALSE)</f>
        <v>#N/A</v>
      </c>
      <c r="AI113" s="70"/>
      <c r="AJ113" s="679"/>
      <c r="AK113" s="70"/>
      <c r="AL113" s="70"/>
      <c r="AM113" s="70"/>
      <c r="AN113" s="70"/>
      <c r="AO113" s="70"/>
      <c r="AP113" s="70"/>
      <c r="AS113" s="23"/>
      <c r="AT113" s="23"/>
      <c r="AU113" s="23"/>
      <c r="AV113" s="23"/>
      <c r="AW113" s="23"/>
      <c r="AX113" s="23"/>
      <c r="AZ113" s="725"/>
    </row>
    <row r="114" spans="1:52" ht="15.75" thickBot="1" x14ac:dyDescent="0.3">
      <c r="A114" s="1091">
        <v>105</v>
      </c>
      <c r="B114" s="1090" t="s">
        <v>61</v>
      </c>
      <c r="C114" s="1098"/>
      <c r="D114" s="837" t="s">
        <v>890</v>
      </c>
      <c r="E114" s="320" t="s">
        <v>109</v>
      </c>
      <c r="F114" s="125">
        <f>Wat_Credits</f>
        <v>9</v>
      </c>
      <c r="G114" s="131"/>
      <c r="H114" s="126">
        <f>Wat_cont_tot</f>
        <v>0</v>
      </c>
      <c r="I114" s="881" t="str">
        <f>"Credits achieved: "&amp;Wat_tot_user</f>
        <v>Credits achieved: 0</v>
      </c>
      <c r="J114" s="134"/>
      <c r="K114" s="282"/>
      <c r="L114" s="757"/>
      <c r="M114" s="829"/>
      <c r="N114" s="383"/>
      <c r="O114" s="126">
        <f>VLOOKUP(D114,Poeng!$B$10:$BB$251,Poeng!AE$1,FALSE)</f>
        <v>0</v>
      </c>
      <c r="P114" s="881" t="str">
        <f>"Credits achieved: "&amp;Wat_d_user</f>
        <v>Credits achieved: 0</v>
      </c>
      <c r="Q114" s="758"/>
      <c r="R114" s="759"/>
      <c r="S114" s="757"/>
      <c r="T114" s="319"/>
      <c r="U114" s="383"/>
      <c r="V114" s="126">
        <f>VLOOKUP(D114,Poeng!$B$10:$BB$251,Poeng!AF$1,FALSE)</f>
        <v>0</v>
      </c>
      <c r="W114" s="881" t="str">
        <f>"Credits achieved: "&amp;Wat_c_user</f>
        <v>Credits achieved: 0</v>
      </c>
      <c r="X114" s="382"/>
      <c r="Y114" s="136"/>
      <c r="Z114" s="757"/>
      <c r="AA114" s="133"/>
      <c r="AB114" s="649"/>
      <c r="AC114" s="107">
        <f t="shared" si="11"/>
        <v>1</v>
      </c>
      <c r="AD114" s="276">
        <v>0</v>
      </c>
      <c r="AE114" s="276">
        <v>0</v>
      </c>
      <c r="AF114" s="276">
        <v>0</v>
      </c>
      <c r="AI114" s="70"/>
      <c r="AJ114" s="679" t="s">
        <v>109</v>
      </c>
      <c r="AK114" s="70"/>
      <c r="AL114" s="70"/>
      <c r="AM114" s="70"/>
      <c r="AN114" s="70"/>
      <c r="AO114" s="70"/>
      <c r="AP114" s="70"/>
      <c r="AS114" s="23" t="str">
        <f t="shared" si="12"/>
        <v>N/A</v>
      </c>
      <c r="AT114" s="23" t="str">
        <f t="shared" si="13"/>
        <v>N/A</v>
      </c>
      <c r="AU114" s="23" t="str">
        <f t="shared" si="14"/>
        <v>N/A</v>
      </c>
      <c r="AV114" s="23"/>
      <c r="AW114" s="23"/>
      <c r="AX114" s="23"/>
      <c r="AZ114" s="649"/>
    </row>
    <row r="115" spans="1:52" x14ac:dyDescent="0.25">
      <c r="A115" s="1091">
        <v>106</v>
      </c>
      <c r="B115" s="1090" t="s">
        <v>61</v>
      </c>
      <c r="C115" s="322"/>
      <c r="D115" s="837"/>
      <c r="E115" s="321"/>
      <c r="F115" s="322"/>
      <c r="G115" s="323"/>
      <c r="H115" s="322"/>
      <c r="I115" s="322"/>
      <c r="J115" s="324"/>
      <c r="K115" s="323"/>
      <c r="L115" s="760"/>
      <c r="M115" s="828"/>
      <c r="N115" s="325"/>
      <c r="O115" s="325"/>
      <c r="P115" s="760"/>
      <c r="Q115" s="760"/>
      <c r="R115" s="761"/>
      <c r="S115" s="1109"/>
      <c r="T115" s="326"/>
      <c r="U115" s="325"/>
      <c r="V115" s="325"/>
      <c r="W115" s="760"/>
      <c r="X115" s="324"/>
      <c r="Y115" s="325"/>
      <c r="Z115" s="1109"/>
      <c r="AA115" s="710"/>
      <c r="AB115" s="324"/>
      <c r="AC115" s="107">
        <f t="shared" si="11"/>
        <v>1</v>
      </c>
      <c r="AD115" s="278">
        <v>0</v>
      </c>
      <c r="AE115" s="278">
        <v>0</v>
      </c>
      <c r="AF115" s="278">
        <v>0</v>
      </c>
      <c r="AI115" s="70"/>
      <c r="AJ115" s="679"/>
      <c r="AK115" s="70"/>
      <c r="AL115" s="70"/>
      <c r="AM115" s="70"/>
      <c r="AN115" s="70"/>
      <c r="AO115" s="70"/>
      <c r="AP115" s="70"/>
      <c r="AS115" s="23" t="str">
        <f t="shared" si="12"/>
        <v>N/A</v>
      </c>
      <c r="AT115" s="23" t="str">
        <f t="shared" si="13"/>
        <v>N/A</v>
      </c>
      <c r="AU115" s="23" t="str">
        <f t="shared" si="14"/>
        <v>N/A</v>
      </c>
      <c r="AV115" s="23"/>
      <c r="AW115" s="23"/>
      <c r="AX115" s="23"/>
      <c r="AZ115" s="324"/>
    </row>
    <row r="116" spans="1:52" ht="18.75" x14ac:dyDescent="0.25">
      <c r="A116" s="1091">
        <v>107</v>
      </c>
      <c r="B116" s="1092" t="s">
        <v>70</v>
      </c>
      <c r="C116" s="1099"/>
      <c r="D116" s="837"/>
      <c r="E116" s="327" t="s">
        <v>57</v>
      </c>
      <c r="F116" s="315"/>
      <c r="G116" s="316"/>
      <c r="H116" s="336"/>
      <c r="I116" s="315"/>
      <c r="J116" s="328"/>
      <c r="K116" s="329"/>
      <c r="L116" s="763"/>
      <c r="M116" s="829"/>
      <c r="N116" s="339"/>
      <c r="O116" s="332"/>
      <c r="P116" s="753"/>
      <c r="Q116" s="764"/>
      <c r="R116" s="765"/>
      <c r="S116" s="766"/>
      <c r="T116" s="319"/>
      <c r="U116" s="339"/>
      <c r="V116" s="338"/>
      <c r="W116" s="753"/>
      <c r="X116" s="328"/>
      <c r="Y116" s="338"/>
      <c r="Z116" s="763"/>
      <c r="AA116" s="133"/>
      <c r="AB116" s="337"/>
      <c r="AC116" s="107">
        <f t="shared" si="11"/>
        <v>1</v>
      </c>
      <c r="AD116" s="275">
        <v>0</v>
      </c>
      <c r="AE116" s="275">
        <v>0</v>
      </c>
      <c r="AF116" s="275">
        <v>0</v>
      </c>
      <c r="AI116" s="70"/>
      <c r="AJ116" s="679" t="s">
        <v>57</v>
      </c>
      <c r="AK116" s="70"/>
      <c r="AL116" s="70"/>
      <c r="AM116" s="70"/>
      <c r="AN116" s="70"/>
      <c r="AO116" s="70"/>
      <c r="AP116" s="70"/>
      <c r="AS116" s="23" t="str">
        <f t="shared" si="12"/>
        <v>N/A</v>
      </c>
      <c r="AT116" s="23" t="str">
        <f t="shared" si="13"/>
        <v>N/A</v>
      </c>
      <c r="AU116" s="23" t="str">
        <f t="shared" si="14"/>
        <v>N/A</v>
      </c>
      <c r="AV116" s="23"/>
      <c r="AW116" s="23"/>
      <c r="AX116" s="23"/>
      <c r="AZ116" s="337"/>
    </row>
    <row r="117" spans="1:52" ht="30" x14ac:dyDescent="0.25">
      <c r="A117" s="1091">
        <v>108</v>
      </c>
      <c r="B117" s="1092" t="s">
        <v>70</v>
      </c>
      <c r="C117" s="1103" t="s">
        <v>175</v>
      </c>
      <c r="D117" s="837" t="s">
        <v>175</v>
      </c>
      <c r="E117" s="993" t="str">
        <f>VLOOKUP(D117,Poeng!$B$10:$Q$251,Poeng!D$1,FALSE)</f>
        <v>Mat 01 Environmental impacts from construction products - Building life cycle assessment (LCA)</v>
      </c>
      <c r="F117" s="879">
        <f>VLOOKUP(D117,Poeng!$B$10:$AA$251,Poeng!AA$1,FALSE)</f>
        <v>5</v>
      </c>
      <c r="G117" s="1014"/>
      <c r="H117" s="880" t="str">
        <f>VLOOKUP(D117,Poeng!$B$10:$AH$251,Poeng!AH$1,FALSE)&amp;" c. "&amp;ROUND(VLOOKUP(D117,Poeng!$B$10:$AD$251,Poeng!AD$1,FALSE)*100,1)&amp;" %"</f>
        <v>0 c. 0 %</v>
      </c>
      <c r="I117" s="937" t="str">
        <f>VLOOKUP(D117,Poeng!$B$10:$BD$251,Poeng!BD$1,FALSE)</f>
        <v>N/A</v>
      </c>
      <c r="J117" s="888"/>
      <c r="K117" s="889"/>
      <c r="L117" s="890"/>
      <c r="M117" s="828"/>
      <c r="N117" s="1015"/>
      <c r="O117" s="1108" t="str">
        <f>VLOOKUP(D117,Poeng!$B$10:$BB$251,Poeng!AI$1,FALSE)&amp;" c. "&amp;ROUND(VLOOKUP(D117,Poeng!$B$10:$BB$251,Poeng!AE$1,FALSE)*100,1)&amp;" %"</f>
        <v>0 c. 0 %</v>
      </c>
      <c r="P117" s="123" t="str">
        <f>VLOOKUP(D117,Poeng!$B$10:$BG$251,Poeng!BG$1,FALSE)</f>
        <v>N/A</v>
      </c>
      <c r="Q117" s="755"/>
      <c r="R117" s="756"/>
      <c r="S117" s="749"/>
      <c r="T117" s="319"/>
      <c r="U117" s="1015"/>
      <c r="V117" s="891" t="str">
        <f>VLOOKUP(D117,Poeng!$B$10:$BB$251,Poeng!AJ$1,FALSE)&amp;" c. "&amp;ROUND(VLOOKUP(D117,Poeng!$B$10:$BB$251,Poeng!AF$1,FALSE)*100,1)&amp;" %"</f>
        <v>0 c. 0 %</v>
      </c>
      <c r="W117" s="123" t="str">
        <f>VLOOKUP(D117,Poeng!$B$10:$BJ$251,Poeng!BJ$1,FALSE)</f>
        <v>N/A</v>
      </c>
      <c r="X117" s="81"/>
      <c r="Y117" s="80"/>
      <c r="Z117" s="749"/>
      <c r="AA117" s="133"/>
      <c r="AB117" s="648" t="s">
        <v>15</v>
      </c>
      <c r="AC117" s="107">
        <f t="shared" si="11"/>
        <v>1</v>
      </c>
      <c r="AD117" s="3" t="e">
        <f>VLOOKUP(K117,'Assessment Details'!$O$45:$P$48,2,FALSE)</f>
        <v>#N/A</v>
      </c>
      <c r="AE117" s="3" t="e">
        <f>VLOOKUP(R117,'Assessment Details'!$O$45:$P$48,2,FALSE)</f>
        <v>#N/A</v>
      </c>
      <c r="AF117" s="3" t="e">
        <f>VLOOKUP(Y117,'Assessment Details'!$O$45:$P$48,2,FALSE)</f>
        <v>#N/A</v>
      </c>
      <c r="AI117" s="70"/>
      <c r="AJ117" s="679" t="s">
        <v>158</v>
      </c>
      <c r="AK117" s="70"/>
      <c r="AL117" s="70"/>
      <c r="AM117" s="70"/>
      <c r="AN117" s="70"/>
      <c r="AO117" s="70"/>
      <c r="AP117" s="70"/>
      <c r="AS117" s="23" t="str">
        <f t="shared" si="12"/>
        <v>N/A</v>
      </c>
      <c r="AT117" s="23" t="str">
        <f t="shared" si="13"/>
        <v>N/A</v>
      </c>
      <c r="AU117" s="23" t="str">
        <f t="shared" si="14"/>
        <v>N/A</v>
      </c>
      <c r="AV117" s="23"/>
      <c r="AW117" s="23"/>
      <c r="AX117" s="23"/>
      <c r="AZ117" s="648"/>
    </row>
    <row r="118" spans="1:52" x14ac:dyDescent="0.25">
      <c r="A118" s="1091">
        <v>109</v>
      </c>
      <c r="B118" s="1092" t="s">
        <v>70</v>
      </c>
      <c r="C118" s="1097" t="str">
        <f t="shared" si="18"/>
        <v>Mat 01</v>
      </c>
      <c r="D118" s="837" t="s">
        <v>774</v>
      </c>
      <c r="E118" s="875" t="str">
        <f>VLOOKUP(D118,Poeng!$B$10:$Q$251,Poeng!D$1,FALSE)</f>
        <v>Pre-requisite: early stage greenhouse gas calculation</v>
      </c>
      <c r="F118" s="122" t="str">
        <f>VLOOKUP(D118,Poeng!$B$10:$AA$251,Poeng!AA$1,FALSE)</f>
        <v>Yes/No</v>
      </c>
      <c r="G118" s="43"/>
      <c r="H118" s="123" t="str">
        <f>VLOOKUP(D118,Poeng!$B$10:$AD$251,Poeng!AD$1,FALSE)</f>
        <v>-</v>
      </c>
      <c r="I118" s="124" t="str">
        <f>VLOOKUP(D118,Poeng!$B$10:$BD$251,Poeng!BD$1,FALSE)</f>
        <v>Unclassified</v>
      </c>
      <c r="J118" s="80"/>
      <c r="K118" s="281"/>
      <c r="L118" s="809"/>
      <c r="M118" s="829"/>
      <c r="N118" s="83"/>
      <c r="O118" s="123" t="str">
        <f>VLOOKUP(D118,Poeng!$B$10:$BB$251,Poeng!AE$1,FALSE)</f>
        <v>-</v>
      </c>
      <c r="P118" s="123" t="str">
        <f>VLOOKUP(D118,Poeng!$B$10:$BG$251,Poeng!BG$1,FALSE)</f>
        <v>Unclassified</v>
      </c>
      <c r="Q118" s="755"/>
      <c r="R118" s="756"/>
      <c r="S118" s="749"/>
      <c r="T118" s="319"/>
      <c r="U118" s="83"/>
      <c r="V118" s="123" t="str">
        <f>VLOOKUP(D118,Poeng!$B$10:$BB$251,Poeng!AF$1,FALSE)</f>
        <v>-</v>
      </c>
      <c r="W118" s="123" t="str">
        <f>VLOOKUP(D118,Poeng!$B$10:$BJ$251,Poeng!BJ$1,FALSE)</f>
        <v>Unclassified</v>
      </c>
      <c r="X118" s="81"/>
      <c r="Y118" s="80"/>
      <c r="Z118" s="749"/>
      <c r="AA118" s="133"/>
      <c r="AB118" s="878"/>
      <c r="AC118" s="107">
        <f t="shared" si="11"/>
        <v>1</v>
      </c>
      <c r="AD118" s="3" t="e">
        <f>VLOOKUP(K118,'Assessment Details'!$O$45:$P$48,2,FALSE)</f>
        <v>#N/A</v>
      </c>
      <c r="AE118" s="3" t="e">
        <f>VLOOKUP(R118,'Assessment Details'!$O$45:$P$48,2,FALSE)</f>
        <v>#N/A</v>
      </c>
      <c r="AF118" s="3" t="e">
        <f>VLOOKUP(Y118,'Assessment Details'!$O$45:$P$48,2,FALSE)</f>
        <v>#N/A</v>
      </c>
      <c r="AI118" s="3"/>
      <c r="AJ118" s="3"/>
      <c r="AK118" s="3"/>
      <c r="AL118" s="3"/>
      <c r="AM118" s="3"/>
      <c r="AN118" s="3"/>
      <c r="AO118" s="3"/>
      <c r="AP118" s="3"/>
      <c r="AS118" s="23"/>
      <c r="AT118" s="23"/>
      <c r="AU118" s="23"/>
      <c r="AV118" s="23"/>
      <c r="AW118" s="23"/>
      <c r="AX118" s="23"/>
      <c r="AZ118" s="878"/>
    </row>
    <row r="119" spans="1:52" x14ac:dyDescent="0.25">
      <c r="A119" s="1091">
        <v>110</v>
      </c>
      <c r="B119" s="1092" t="s">
        <v>70</v>
      </c>
      <c r="C119" s="1097" t="str">
        <f t="shared" si="18"/>
        <v>Mat 01</v>
      </c>
      <c r="D119" s="837" t="s">
        <v>775</v>
      </c>
      <c r="E119" s="875" t="str">
        <f>VLOOKUP(D119,Poeng!$B$10:$Q$251,Poeng!D$1,FALSE)</f>
        <v>Reduction of greenhouse gas emissions</v>
      </c>
      <c r="F119" s="122">
        <f>VLOOKUP(D119,Poeng!$B$10:$AA$251,Poeng!AA$1,FALSE)</f>
        <v>3</v>
      </c>
      <c r="G119" s="43"/>
      <c r="H119" s="123">
        <f>VLOOKUP(D119,Poeng!$B$10:$AD$251,Poeng!AD$1,FALSE)</f>
        <v>0</v>
      </c>
      <c r="I119" s="124" t="str">
        <f>VLOOKUP(D119,Poeng!$B$10:$BD$251,Poeng!BD$1,FALSE)</f>
        <v>Good</v>
      </c>
      <c r="J119" s="80"/>
      <c r="K119" s="281"/>
      <c r="L119" s="809"/>
      <c r="M119" s="829"/>
      <c r="N119" s="83"/>
      <c r="O119" s="123">
        <f>VLOOKUP(D119,Poeng!$B$10:$BB$251,Poeng!AE$1,FALSE)</f>
        <v>0</v>
      </c>
      <c r="P119" s="123" t="str">
        <f>VLOOKUP(D119,Poeng!$B$10:$BG$251,Poeng!BG$1,FALSE)</f>
        <v>Good</v>
      </c>
      <c r="Q119" s="755"/>
      <c r="R119" s="756"/>
      <c r="S119" s="749"/>
      <c r="T119" s="319"/>
      <c r="U119" s="83"/>
      <c r="V119" s="123">
        <f>VLOOKUP(D119,Poeng!$B$10:$BB$251,Poeng!AF$1,FALSE)</f>
        <v>0</v>
      </c>
      <c r="W119" s="123" t="str">
        <f>VLOOKUP(D119,Poeng!$B$10:$BJ$251,Poeng!BJ$1,FALSE)</f>
        <v>Good</v>
      </c>
      <c r="X119" s="81"/>
      <c r="Y119" s="80"/>
      <c r="Z119" s="749"/>
      <c r="AA119" s="133"/>
      <c r="AB119" s="878"/>
      <c r="AC119" s="107">
        <f t="shared" si="11"/>
        <v>1</v>
      </c>
      <c r="AD119" s="3" t="e">
        <f>VLOOKUP(K119,'Assessment Details'!$O$45:$P$48,2,FALSE)</f>
        <v>#N/A</v>
      </c>
      <c r="AE119" s="3" t="e">
        <f>VLOOKUP(R119,'Assessment Details'!$O$45:$P$48,2,FALSE)</f>
        <v>#N/A</v>
      </c>
      <c r="AF119" s="3" t="e">
        <f>VLOOKUP(Y119,'Assessment Details'!$O$45:$P$48,2,FALSE)</f>
        <v>#N/A</v>
      </c>
      <c r="AI119" s="3"/>
      <c r="AJ119" s="3"/>
      <c r="AK119" s="3"/>
      <c r="AL119" s="3"/>
      <c r="AM119" s="3"/>
      <c r="AN119" s="3"/>
      <c r="AO119" s="3"/>
      <c r="AP119" s="3"/>
      <c r="AS119" s="23"/>
      <c r="AT119" s="23"/>
      <c r="AU119" s="23"/>
      <c r="AV119" s="23"/>
      <c r="AW119" s="23"/>
      <c r="AX119" s="23"/>
      <c r="AZ119" s="878"/>
    </row>
    <row r="120" spans="1:52" x14ac:dyDescent="0.25">
      <c r="A120" s="1091">
        <v>111</v>
      </c>
      <c r="B120" s="1092" t="s">
        <v>70</v>
      </c>
      <c r="C120" s="1097" t="str">
        <f t="shared" si="18"/>
        <v>Mat 01</v>
      </c>
      <c r="D120" s="19" t="s">
        <v>776</v>
      </c>
      <c r="E120" s="875" t="str">
        <f>VLOOKUP(D120,Poeng!$B$10:$Q$251,Poeng!D$1,FALSE)</f>
        <v>Life cycle assessment of the building</v>
      </c>
      <c r="F120" s="122">
        <f>VLOOKUP(D120,Poeng!$B$10:$AA$251,Poeng!AA$1,FALSE)</f>
        <v>2</v>
      </c>
      <c r="G120" s="43"/>
      <c r="H120" s="123">
        <f>VLOOKUP(D120,Poeng!$B$10:$AD$251,Poeng!AD$1,FALSE)</f>
        <v>0</v>
      </c>
      <c r="I120" s="124" t="str">
        <f>VLOOKUP(D120,Poeng!$B$10:$BD$251,Poeng!BD$1,FALSE)</f>
        <v>N/A</v>
      </c>
      <c r="J120" s="80"/>
      <c r="K120" s="281"/>
      <c r="L120" s="809"/>
      <c r="M120" s="829"/>
      <c r="N120" s="83"/>
      <c r="O120" s="123">
        <f>VLOOKUP(D120,Poeng!$B$10:$BB$251,Poeng!AE$1,FALSE)</f>
        <v>0</v>
      </c>
      <c r="P120" s="123" t="str">
        <f>VLOOKUP(D120,Poeng!$B$10:$BG$251,Poeng!BG$1,FALSE)</f>
        <v>N/A</v>
      </c>
      <c r="Q120" s="755"/>
      <c r="R120" s="756"/>
      <c r="S120" s="749"/>
      <c r="T120" s="319"/>
      <c r="U120" s="83"/>
      <c r="V120" s="123">
        <f>VLOOKUP(D120,Poeng!$B$10:$BB$251,Poeng!AF$1,FALSE)</f>
        <v>0</v>
      </c>
      <c r="W120" s="123" t="str">
        <f>VLOOKUP(D120,Poeng!$B$10:$BJ$251,Poeng!BJ$1,FALSE)</f>
        <v>N/A</v>
      </c>
      <c r="X120" s="81"/>
      <c r="Y120" s="80"/>
      <c r="Z120" s="749"/>
      <c r="AC120" s="107">
        <f t="shared" si="11"/>
        <v>1</v>
      </c>
      <c r="AD120" s="3" t="e">
        <f>VLOOKUP(K120,'Assessment Details'!$O$45:$P$48,2,FALSE)</f>
        <v>#N/A</v>
      </c>
      <c r="AE120" s="3" t="e">
        <f>VLOOKUP(R120,'Assessment Details'!$O$45:$P$48,2,FALSE)</f>
        <v>#N/A</v>
      </c>
      <c r="AF120" s="3" t="e">
        <f>VLOOKUP(Y120,'Assessment Details'!$O$45:$P$48,2,FALSE)</f>
        <v>#N/A</v>
      </c>
    </row>
    <row r="121" spans="1:52" ht="30" x14ac:dyDescent="0.25">
      <c r="A121" s="1091">
        <v>112</v>
      </c>
      <c r="B121" s="1092" t="s">
        <v>70</v>
      </c>
      <c r="C121" s="1103" t="s">
        <v>480</v>
      </c>
      <c r="D121" s="837" t="s">
        <v>480</v>
      </c>
      <c r="E121" s="993" t="str">
        <f>VLOOKUP(D121,Poeng!$B$10:$Q$251,Poeng!D$1,FALSE)</f>
        <v>Mat 02 Environmental impacts from construction products - product requirements</v>
      </c>
      <c r="F121" s="879">
        <f>VLOOKUP(D121,Poeng!$B$10:$AA$251,Poeng!AA$1,FALSE)</f>
        <v>3</v>
      </c>
      <c r="G121" s="1015"/>
      <c r="H121" s="880" t="str">
        <f>VLOOKUP(D121,Poeng!$B$10:$AH$251,Poeng!AH$1,FALSE)&amp;" c. "&amp;ROUND(VLOOKUP(D121,Poeng!$B$10:$AD$251,Poeng!AD$1,FALSE)*100,1)&amp;" %"</f>
        <v>0 c. 0 %</v>
      </c>
      <c r="I121" s="938" t="str">
        <f>VLOOKUP(D121,Poeng!$B$10:$BD$251,Poeng!BD$1,FALSE)</f>
        <v>N/A</v>
      </c>
      <c r="J121" s="80"/>
      <c r="K121" s="281"/>
      <c r="L121" s="809"/>
      <c r="M121" s="829"/>
      <c r="N121" s="1015"/>
      <c r="O121" s="891" t="str">
        <f>VLOOKUP(D121,Poeng!$B$10:$BB$251,Poeng!AI$1,FALSE)&amp;" c. "&amp;ROUND(VLOOKUP(D121,Poeng!$B$10:$BB$251,Poeng!AE$1,FALSE)*100,1)&amp;" %"</f>
        <v>0 c. 0 %</v>
      </c>
      <c r="P121" s="123" t="str">
        <f>VLOOKUP(D121,Poeng!$B$10:$BG$251,Poeng!BG$1,FALSE)</f>
        <v>N/A</v>
      </c>
      <c r="Q121" s="755"/>
      <c r="R121" s="756"/>
      <c r="S121" s="749"/>
      <c r="T121" s="319"/>
      <c r="U121" s="1015"/>
      <c r="V121" s="891" t="str">
        <f>VLOOKUP(D121,Poeng!$B$10:$BB$251,Poeng!AJ$1,FALSE)&amp;" c. "&amp;ROUND(VLOOKUP(D121,Poeng!$B$10:$BB$251,Poeng!AF$1,FALSE)*100,1)&amp;" %"</f>
        <v>0 c. 0 %</v>
      </c>
      <c r="W121" s="123" t="str">
        <f>VLOOKUP(D121,Poeng!$B$10:$BJ$251,Poeng!BJ$1,FALSE)</f>
        <v>N/A</v>
      </c>
      <c r="X121" s="81"/>
      <c r="Y121" s="80"/>
      <c r="Z121" s="749"/>
      <c r="AA121" s="133"/>
      <c r="AB121" s="648"/>
      <c r="AC121" s="107">
        <f t="shared" si="11"/>
        <v>1</v>
      </c>
      <c r="AD121" s="3" t="e">
        <f>VLOOKUP(K121,'Assessment Details'!$O$45:$P$48,2,FALSE)</f>
        <v>#N/A</v>
      </c>
      <c r="AE121" s="3" t="e">
        <f>VLOOKUP(R121,'Assessment Details'!$O$45:$P$48,2,FALSE)</f>
        <v>#N/A</v>
      </c>
      <c r="AF121" s="3" t="e">
        <f>VLOOKUP(Y121,'Assessment Details'!$O$45:$P$48,2,FALSE)</f>
        <v>#N/A</v>
      </c>
      <c r="AI121" s="70"/>
      <c r="AJ121" s="679"/>
      <c r="AK121" s="70"/>
      <c r="AL121" s="70"/>
      <c r="AM121" s="70"/>
      <c r="AN121" s="70"/>
      <c r="AO121" s="70"/>
      <c r="AP121" s="70"/>
      <c r="AS121" s="23"/>
      <c r="AT121" s="23"/>
      <c r="AU121" s="23"/>
      <c r="AV121" s="23"/>
      <c r="AW121" s="23"/>
      <c r="AX121" s="23"/>
      <c r="AZ121" s="648"/>
    </row>
    <row r="122" spans="1:52" x14ac:dyDescent="0.25">
      <c r="A122" s="1091">
        <v>113</v>
      </c>
      <c r="B122" s="1092" t="s">
        <v>70</v>
      </c>
      <c r="C122" s="1097" t="str">
        <f t="shared" si="18"/>
        <v>Mat 02</v>
      </c>
      <c r="D122" s="19" t="s">
        <v>777</v>
      </c>
      <c r="E122" s="875" t="str">
        <f>VLOOKUP(D122,Poeng!$B$10:$Q$251,Poeng!D$1,FALSE)</f>
        <v>Minimum req: absence of environmental toxins</v>
      </c>
      <c r="F122" s="122" t="str">
        <f>VLOOKUP(D122,Poeng!$B$10:$AA$251,Poeng!AA$1,FALSE)</f>
        <v>Yes/No</v>
      </c>
      <c r="G122" s="43"/>
      <c r="H122" s="123" t="str">
        <f>VLOOKUP(D122,Poeng!$B$10:$AD$251,Poeng!AD$1,FALSE)</f>
        <v>-</v>
      </c>
      <c r="I122" s="124" t="str">
        <f>VLOOKUP(D122,Poeng!$B$10:$BD$251,Poeng!BD$1,FALSE)</f>
        <v>Unclassified</v>
      </c>
      <c r="J122" s="80"/>
      <c r="K122" s="281"/>
      <c r="L122" s="809"/>
      <c r="M122" s="829"/>
      <c r="N122" s="83"/>
      <c r="O122" s="123" t="str">
        <f>VLOOKUP(D122,Poeng!$B$10:$BB$251,Poeng!AE$1,FALSE)</f>
        <v>-</v>
      </c>
      <c r="P122" s="123" t="str">
        <f>VLOOKUP(D122,Poeng!$B$10:$BG$251,Poeng!BG$1,FALSE)</f>
        <v>Unclassified</v>
      </c>
      <c r="Q122" s="755"/>
      <c r="R122" s="756"/>
      <c r="S122" s="749"/>
      <c r="T122" s="319"/>
      <c r="U122" s="83"/>
      <c r="V122" s="123" t="str">
        <f>VLOOKUP(D122,Poeng!$B$10:$BB$251,Poeng!AF$1,FALSE)</f>
        <v>-</v>
      </c>
      <c r="W122" s="123" t="str">
        <f>VLOOKUP(D122,Poeng!$B$10:$BJ$251,Poeng!BJ$1,FALSE)</f>
        <v>Unclassified</v>
      </c>
      <c r="X122" s="81"/>
      <c r="Y122" s="80"/>
      <c r="Z122" s="749"/>
      <c r="AC122" s="107">
        <f t="shared" si="11"/>
        <v>1</v>
      </c>
      <c r="AD122" s="3" t="e">
        <f>VLOOKUP(K122,'Assessment Details'!$O$45:$P$48,2,FALSE)</f>
        <v>#N/A</v>
      </c>
      <c r="AE122" s="3" t="e">
        <f>VLOOKUP(R122,'Assessment Details'!$O$45:$P$48,2,FALSE)</f>
        <v>#N/A</v>
      </c>
      <c r="AF122" s="3" t="e">
        <f>VLOOKUP(Y122,'Assessment Details'!$O$45:$P$48,2,FALSE)</f>
        <v>#N/A</v>
      </c>
    </row>
    <row r="123" spans="1:52" x14ac:dyDescent="0.25">
      <c r="A123" s="1091">
        <v>114</v>
      </c>
      <c r="B123" s="1092" t="s">
        <v>70</v>
      </c>
      <c r="C123" s="1097" t="str">
        <f t="shared" si="18"/>
        <v>Mat 02</v>
      </c>
      <c r="D123" s="19" t="s">
        <v>778</v>
      </c>
      <c r="E123" s="875" t="str">
        <f>VLOOKUP(D123,Poeng!$B$10:$Q$251,Poeng!D$1,FALSE)</f>
        <v xml:space="preserve">EPD for construction products </v>
      </c>
      <c r="F123" s="122">
        <f>VLOOKUP(D123,Poeng!$B$10:$AA$251,Poeng!AA$1,FALSE)</f>
        <v>1</v>
      </c>
      <c r="G123" s="43"/>
      <c r="H123" s="123">
        <f>VLOOKUP(D123,Poeng!$B$10:$AD$251,Poeng!AD$1,FALSE)</f>
        <v>0</v>
      </c>
      <c r="I123" s="124" t="str">
        <f>VLOOKUP(D123,Poeng!$B$10:$BD$251,Poeng!BD$1,FALSE)</f>
        <v>N/A</v>
      </c>
      <c r="J123" s="80"/>
      <c r="K123" s="281"/>
      <c r="L123" s="809"/>
      <c r="M123" s="829"/>
      <c r="N123" s="83"/>
      <c r="O123" s="123">
        <f>VLOOKUP(D123,Poeng!$B$10:$BB$251,Poeng!AE$1,FALSE)</f>
        <v>0</v>
      </c>
      <c r="P123" s="123" t="str">
        <f>VLOOKUP(D123,Poeng!$B$10:$BG$251,Poeng!BG$1,FALSE)</f>
        <v>N/A</v>
      </c>
      <c r="Q123" s="755"/>
      <c r="R123" s="756"/>
      <c r="S123" s="749"/>
      <c r="T123" s="319"/>
      <c r="U123" s="83"/>
      <c r="V123" s="123">
        <f>VLOOKUP(D123,Poeng!$B$10:$BB$251,Poeng!AF$1,FALSE)</f>
        <v>0</v>
      </c>
      <c r="W123" s="123" t="str">
        <f>VLOOKUP(D123,Poeng!$B$10:$BJ$251,Poeng!BJ$1,FALSE)</f>
        <v>N/A</v>
      </c>
      <c r="X123" s="81"/>
      <c r="Y123" s="80"/>
      <c r="Z123" s="749"/>
      <c r="AC123" s="107">
        <f t="shared" si="11"/>
        <v>1</v>
      </c>
      <c r="AD123" s="3" t="e">
        <f>VLOOKUP(K123,'Assessment Details'!$O$45:$P$48,2,FALSE)</f>
        <v>#N/A</v>
      </c>
      <c r="AE123" s="3" t="e">
        <f>VLOOKUP(R123,'Assessment Details'!$O$45:$P$48,2,FALSE)</f>
        <v>#N/A</v>
      </c>
      <c r="AF123" s="3" t="e">
        <f>VLOOKUP(Y123,'Assessment Details'!$O$45:$P$48,2,FALSE)</f>
        <v>#N/A</v>
      </c>
    </row>
    <row r="124" spans="1:52" x14ac:dyDescent="0.25">
      <c r="A124" s="1091">
        <v>115</v>
      </c>
      <c r="B124" s="1092" t="s">
        <v>70</v>
      </c>
      <c r="C124" s="1097" t="str">
        <f t="shared" si="18"/>
        <v>Mat 02</v>
      </c>
      <c r="D124" s="19" t="s">
        <v>779</v>
      </c>
      <c r="E124" s="875" t="str">
        <f>VLOOKUP(D124,Poeng!$B$10:$Q$251,Poeng!D$1,FALSE)</f>
        <v xml:space="preserve">Performance requirements for construction products </v>
      </c>
      <c r="F124" s="122">
        <f>VLOOKUP(D124,Poeng!$B$10:$AA$251,Poeng!AA$1,FALSE)</f>
        <v>2</v>
      </c>
      <c r="G124" s="43"/>
      <c r="H124" s="123">
        <f>VLOOKUP(D124,Poeng!$B$10:$AD$251,Poeng!AD$1,FALSE)</f>
        <v>0</v>
      </c>
      <c r="I124" s="124" t="str">
        <f>VLOOKUP(D124,Poeng!$B$10:$BD$251,Poeng!BD$1,FALSE)</f>
        <v>N/A</v>
      </c>
      <c r="J124" s="80"/>
      <c r="K124" s="281"/>
      <c r="L124" s="809"/>
      <c r="M124" s="829"/>
      <c r="N124" s="83"/>
      <c r="O124" s="123">
        <f>VLOOKUP(D124,Poeng!$B$10:$BB$251,Poeng!AE$1,FALSE)</f>
        <v>0</v>
      </c>
      <c r="P124" s="123" t="str">
        <f>VLOOKUP(D124,Poeng!$B$10:$BG$251,Poeng!BG$1,FALSE)</f>
        <v>N/A</v>
      </c>
      <c r="Q124" s="755"/>
      <c r="R124" s="756"/>
      <c r="S124" s="1110"/>
      <c r="T124" s="319"/>
      <c r="U124" s="83"/>
      <c r="V124" s="123">
        <f>VLOOKUP(D124,Poeng!$B$10:$BB$251,Poeng!AF$1,FALSE)</f>
        <v>0</v>
      </c>
      <c r="W124" s="123" t="str">
        <f>VLOOKUP(D124,Poeng!$B$10:$BJ$251,Poeng!BJ$1,FALSE)</f>
        <v>N/A</v>
      </c>
      <c r="X124" s="81"/>
      <c r="Y124" s="80"/>
      <c r="Z124" s="1110"/>
      <c r="AC124" s="107">
        <f t="shared" si="11"/>
        <v>1</v>
      </c>
      <c r="AD124" s="3" t="e">
        <f>VLOOKUP(K124,'Assessment Details'!$O$45:$P$48,2,FALSE)</f>
        <v>#N/A</v>
      </c>
      <c r="AE124" s="3" t="e">
        <f>VLOOKUP(R124,'Assessment Details'!$O$45:$P$48,2,FALSE)</f>
        <v>#N/A</v>
      </c>
      <c r="AF124" s="3" t="e">
        <f>VLOOKUP(Y124,'Assessment Details'!$O$45:$P$48,2,FALSE)</f>
        <v>#N/A</v>
      </c>
    </row>
    <row r="125" spans="1:52" x14ac:dyDescent="0.25">
      <c r="A125" s="1091">
        <v>116</v>
      </c>
      <c r="B125" s="1092" t="s">
        <v>70</v>
      </c>
      <c r="C125" s="938" t="s">
        <v>176</v>
      </c>
      <c r="D125" s="837" t="s">
        <v>176</v>
      </c>
      <c r="E125" s="874" t="str">
        <f>VLOOKUP(D125,Poeng!$B$10:$Q$251,Poeng!D$1,FALSE)</f>
        <v>Mat 03 Responsible sourcing of construction products</v>
      </c>
      <c r="F125" s="879">
        <f>VLOOKUP(D125,Poeng!$B$10:$AA$251,Poeng!AA$1,FALSE)</f>
        <v>3</v>
      </c>
      <c r="G125" s="1015"/>
      <c r="H125" s="880" t="str">
        <f>VLOOKUP(D125,Poeng!$B$10:$AH$251,Poeng!AH$1,FALSE)&amp;" c. "&amp;ROUND(VLOOKUP(D125,Poeng!$B$10:$AD$251,Poeng!AD$1,FALSE)*100,1)&amp;" %"</f>
        <v>0 c. 0 %</v>
      </c>
      <c r="I125" s="938" t="str">
        <f>VLOOKUP(D125,Poeng!$B$10:$BD$251,Poeng!BD$1,FALSE)</f>
        <v>N/A</v>
      </c>
      <c r="J125" s="80"/>
      <c r="K125" s="281"/>
      <c r="L125" s="809"/>
      <c r="M125" s="829"/>
      <c r="N125" s="1015"/>
      <c r="O125" s="891" t="str">
        <f>VLOOKUP(D125,Poeng!$B$10:$BB$251,Poeng!AI$1,FALSE)&amp;" c. "&amp;ROUND(VLOOKUP(D125,Poeng!$B$10:$BB$251,Poeng!AE$1,FALSE)*100,1)&amp;" %"</f>
        <v>0 c. 0 %</v>
      </c>
      <c r="P125" s="123" t="str">
        <f>VLOOKUP(D125,Poeng!$B$10:$BG$251,Poeng!BG$1,FALSE)</f>
        <v>N/A</v>
      </c>
      <c r="Q125" s="755"/>
      <c r="R125" s="756"/>
      <c r="S125" s="749"/>
      <c r="T125" s="319"/>
      <c r="U125" s="1015"/>
      <c r="V125" s="891" t="str">
        <f>VLOOKUP(D125,Poeng!$B$10:$BB$251,Poeng!AJ$1,FALSE)&amp;" c. "&amp;ROUND(VLOOKUP(D125,Poeng!$B$10:$BB$251,Poeng!AF$1,FALSE)*100,1)&amp;" %"</f>
        <v>0 c. 0 %</v>
      </c>
      <c r="W125" s="123" t="str">
        <f>VLOOKUP(D125,Poeng!$B$10:$BJ$251,Poeng!BJ$1,FALSE)</f>
        <v>N/A</v>
      </c>
      <c r="X125" s="81"/>
      <c r="Y125" s="80"/>
      <c r="Z125" s="749"/>
      <c r="AA125" s="133"/>
      <c r="AB125" s="648" t="s">
        <v>15</v>
      </c>
      <c r="AC125" s="107">
        <f t="shared" si="11"/>
        <v>1</v>
      </c>
      <c r="AD125" s="3" t="e">
        <f>VLOOKUP(K125,'Assessment Details'!$O$45:$P$48,2,FALSE)</f>
        <v>#N/A</v>
      </c>
      <c r="AE125" s="3" t="e">
        <f>VLOOKUP(R125,'Assessment Details'!$O$45:$P$48,2,FALSE)</f>
        <v>#N/A</v>
      </c>
      <c r="AF125" s="3" t="e">
        <f>VLOOKUP(Y125,'Assessment Details'!$O$45:$P$48,2,FALSE)</f>
        <v>#N/A</v>
      </c>
      <c r="AI125" s="70"/>
      <c r="AJ125" s="679" t="s">
        <v>159</v>
      </c>
      <c r="AK125" s="70"/>
      <c r="AL125" s="70"/>
      <c r="AM125" s="70"/>
      <c r="AN125" s="70"/>
      <c r="AO125" s="70"/>
      <c r="AP125" s="70"/>
      <c r="AS125" s="23" t="str">
        <f t="shared" si="12"/>
        <v>N/A</v>
      </c>
      <c r="AT125" s="23" t="str">
        <f t="shared" si="13"/>
        <v>N/A</v>
      </c>
      <c r="AU125" s="23" t="str">
        <f t="shared" si="14"/>
        <v>N/A</v>
      </c>
      <c r="AV125" s="23"/>
      <c r="AW125" s="23"/>
      <c r="AX125" s="23"/>
      <c r="AZ125" s="648"/>
    </row>
    <row r="126" spans="1:52" x14ac:dyDescent="0.25">
      <c r="A126" s="1091">
        <v>117</v>
      </c>
      <c r="B126" s="1092" t="s">
        <v>70</v>
      </c>
      <c r="C126" s="1097" t="str">
        <f t="shared" si="18"/>
        <v>Mat 03</v>
      </c>
      <c r="D126" s="19" t="s">
        <v>780</v>
      </c>
      <c r="E126" s="875" t="str">
        <f>VLOOKUP(D126,Poeng!$B$10:$Q$251,Poeng!D$1,FALSE)</f>
        <v>Minimum req: legal and sustainable timber</v>
      </c>
      <c r="F126" s="122" t="str">
        <f>VLOOKUP(D126,Poeng!$B$10:$AA$251,Poeng!AA$1,FALSE)</f>
        <v>Yes/No</v>
      </c>
      <c r="G126" s="43"/>
      <c r="H126" s="123" t="str">
        <f>VLOOKUP(D126,Poeng!$B$10:$AD$251,Poeng!AD$1,FALSE)</f>
        <v>-</v>
      </c>
      <c r="I126" s="124" t="str">
        <f>VLOOKUP(D126,Poeng!$B$10:$BD$251,Poeng!BD$1,FALSE)</f>
        <v>Unclassified</v>
      </c>
      <c r="J126" s="80"/>
      <c r="K126" s="281"/>
      <c r="L126" s="809"/>
      <c r="M126" s="829"/>
      <c r="N126" s="83"/>
      <c r="O126" s="123" t="str">
        <f>VLOOKUP(D126,Poeng!$B$10:$BB$251,Poeng!AE$1,FALSE)</f>
        <v>-</v>
      </c>
      <c r="P126" s="123" t="str">
        <f>VLOOKUP(D126,Poeng!$B$10:$BG$251,Poeng!BG$1,FALSE)</f>
        <v>Unclassified</v>
      </c>
      <c r="Q126" s="755"/>
      <c r="R126" s="756"/>
      <c r="S126" s="749"/>
      <c r="T126" s="319"/>
      <c r="U126" s="83"/>
      <c r="V126" s="123" t="str">
        <f>VLOOKUP(D126,Poeng!$B$10:$BB$251,Poeng!AF$1,FALSE)</f>
        <v>-</v>
      </c>
      <c r="W126" s="123" t="str">
        <f>VLOOKUP(D126,Poeng!$B$10:$BJ$251,Poeng!BJ$1,FALSE)</f>
        <v>Unclassified</v>
      </c>
      <c r="X126" s="81"/>
      <c r="Y126" s="80"/>
      <c r="Z126" s="749"/>
      <c r="AC126" s="107">
        <f t="shared" si="11"/>
        <v>1</v>
      </c>
      <c r="AD126" s="3" t="e">
        <f>VLOOKUP(K126,'Assessment Details'!$O$45:$P$48,2,FALSE)</f>
        <v>#N/A</v>
      </c>
      <c r="AE126" s="3" t="e">
        <f>VLOOKUP(R126,'Assessment Details'!$O$45:$P$48,2,FALSE)</f>
        <v>#N/A</v>
      </c>
      <c r="AF126" s="3" t="e">
        <f>VLOOKUP(Y126,'Assessment Details'!$O$45:$P$48,2,FALSE)</f>
        <v>#N/A</v>
      </c>
    </row>
    <row r="127" spans="1:52" x14ac:dyDescent="0.25">
      <c r="A127" s="1091">
        <v>118</v>
      </c>
      <c r="B127" s="1092" t="s">
        <v>70</v>
      </c>
      <c r="C127" s="1097" t="str">
        <f t="shared" si="18"/>
        <v>Mat 03</v>
      </c>
      <c r="D127" s="19" t="s">
        <v>781</v>
      </c>
      <c r="E127" s="875" t="str">
        <f>VLOOKUP(D127,Poeng!$B$10:$Q$251,Poeng!D$1,FALSE)</f>
        <v>Enabling sustainable procurement</v>
      </c>
      <c r="F127" s="122">
        <f>VLOOKUP(D127,Poeng!$B$10:$AA$251,Poeng!AA$1,FALSE)</f>
        <v>1</v>
      </c>
      <c r="G127" s="43"/>
      <c r="H127" s="123">
        <f>VLOOKUP(D127,Poeng!$B$10:$AD$251,Poeng!AD$1,FALSE)</f>
        <v>0</v>
      </c>
      <c r="I127" s="124" t="str">
        <f>VLOOKUP(D127,Poeng!$B$10:$BD$251,Poeng!BD$1,FALSE)</f>
        <v>N/A</v>
      </c>
      <c r="J127" s="80"/>
      <c r="K127" s="281"/>
      <c r="L127" s="809"/>
      <c r="M127" s="829"/>
      <c r="N127" s="83"/>
      <c r="O127" s="123">
        <f>VLOOKUP(D127,Poeng!$B$10:$BB$251,Poeng!AE$1,FALSE)</f>
        <v>0</v>
      </c>
      <c r="P127" s="123" t="str">
        <f>VLOOKUP(D127,Poeng!$B$10:$BG$251,Poeng!BG$1,FALSE)</f>
        <v>N/A</v>
      </c>
      <c r="Q127" s="755"/>
      <c r="R127" s="756"/>
      <c r="S127" s="749"/>
      <c r="T127" s="319"/>
      <c r="U127" s="83"/>
      <c r="V127" s="123">
        <f>VLOOKUP(D127,Poeng!$B$10:$BB$251,Poeng!AF$1,FALSE)</f>
        <v>0</v>
      </c>
      <c r="W127" s="123" t="str">
        <f>VLOOKUP(D127,Poeng!$B$10:$BJ$251,Poeng!BJ$1,FALSE)</f>
        <v>N/A</v>
      </c>
      <c r="X127" s="81"/>
      <c r="Y127" s="80"/>
      <c r="Z127" s="749"/>
      <c r="AC127" s="107">
        <f t="shared" si="11"/>
        <v>1</v>
      </c>
      <c r="AD127" s="3" t="e">
        <f>VLOOKUP(K127,'Assessment Details'!$O$45:$P$48,2,FALSE)</f>
        <v>#N/A</v>
      </c>
      <c r="AE127" s="3" t="e">
        <f>VLOOKUP(R127,'Assessment Details'!$O$45:$P$48,2,FALSE)</f>
        <v>#N/A</v>
      </c>
      <c r="AF127" s="3" t="e">
        <f>VLOOKUP(Y127,'Assessment Details'!$O$45:$P$48,2,FALSE)</f>
        <v>#N/A</v>
      </c>
    </row>
    <row r="128" spans="1:52" x14ac:dyDescent="0.25">
      <c r="A128" s="1091">
        <v>119</v>
      </c>
      <c r="B128" s="1092" t="s">
        <v>70</v>
      </c>
      <c r="C128" s="1097" t="str">
        <f t="shared" si="18"/>
        <v>Mat 03</v>
      </c>
      <c r="D128" s="19" t="s">
        <v>782</v>
      </c>
      <c r="E128" s="875" t="str">
        <f>VLOOKUP(D128,Poeng!$B$10:$Q$251,Poeng!D$1,FALSE)</f>
        <v>Responsible sourcing of relevant materials</v>
      </c>
      <c r="F128" s="122">
        <f>VLOOKUP(D128,Poeng!$B$10:$AA$251,Poeng!AA$1,FALSE)</f>
        <v>2</v>
      </c>
      <c r="G128" s="43"/>
      <c r="H128" s="123">
        <f>VLOOKUP(D128,Poeng!$B$10:$AD$251,Poeng!AD$1,FALSE)</f>
        <v>0</v>
      </c>
      <c r="I128" s="124" t="str">
        <f>VLOOKUP(D128,Poeng!$B$10:$BD$251,Poeng!BD$1,FALSE)</f>
        <v>N/A</v>
      </c>
      <c r="J128" s="1111"/>
      <c r="K128" s="281"/>
      <c r="L128" s="809"/>
      <c r="M128" s="829"/>
      <c r="N128" s="83"/>
      <c r="O128" s="123">
        <f>VLOOKUP(D128,Poeng!$B$10:$BB$251,Poeng!AE$1,FALSE)</f>
        <v>0</v>
      </c>
      <c r="P128" s="123" t="str">
        <f>VLOOKUP(D128,Poeng!$B$10:$BG$251,Poeng!BG$1,FALSE)</f>
        <v>N/A</v>
      </c>
      <c r="Q128" s="755"/>
      <c r="R128" s="756"/>
      <c r="S128" s="749"/>
      <c r="T128" s="319"/>
      <c r="U128" s="83"/>
      <c r="V128" s="123">
        <f>VLOOKUP(D128,Poeng!$B$10:$BB$251,Poeng!AF$1,FALSE)</f>
        <v>0</v>
      </c>
      <c r="W128" s="123" t="str">
        <f>VLOOKUP(D128,Poeng!$B$10:$BJ$251,Poeng!BJ$1,FALSE)</f>
        <v>N/A</v>
      </c>
      <c r="X128" s="81"/>
      <c r="Y128" s="80"/>
      <c r="Z128" s="749"/>
      <c r="AC128" s="107">
        <f t="shared" si="11"/>
        <v>1</v>
      </c>
      <c r="AD128" s="3" t="e">
        <f>VLOOKUP(K128,'Assessment Details'!$O$45:$P$48,2,FALSE)</f>
        <v>#N/A</v>
      </c>
      <c r="AE128" s="3" t="e">
        <f>VLOOKUP(R128,'Assessment Details'!$O$45:$P$48,2,FALSE)</f>
        <v>#N/A</v>
      </c>
      <c r="AF128" s="3" t="e">
        <f>VLOOKUP(Y128,'Assessment Details'!$O$45:$P$48,2,FALSE)</f>
        <v>#N/A</v>
      </c>
    </row>
    <row r="129" spans="1:52" x14ac:dyDescent="0.25">
      <c r="A129" s="1091">
        <v>120</v>
      </c>
      <c r="B129" s="1092" t="s">
        <v>70</v>
      </c>
      <c r="C129" s="938" t="s">
        <v>177</v>
      </c>
      <c r="D129" s="837" t="s">
        <v>177</v>
      </c>
      <c r="E129" s="874" t="str">
        <f>VLOOKUP(D129,Poeng!$B$10:$Q$251,Poeng!D$1,FALSE)</f>
        <v>Mat 05 Designing for durability and climate adaption</v>
      </c>
      <c r="F129" s="879">
        <f>VLOOKUP(D129,Poeng!$B$10:$AA$251,Poeng!AA$1,FALSE)</f>
        <v>4</v>
      </c>
      <c r="G129" s="1015"/>
      <c r="H129" s="880" t="str">
        <f>VLOOKUP(D129,Poeng!$B$10:$AH$251,Poeng!AH$1,FALSE)&amp;" c. "&amp;ROUND(VLOOKUP(D129,Poeng!$B$10:$AD$251,Poeng!AD$1,FALSE)*100,1)&amp;" %"</f>
        <v>0 c. 0 %</v>
      </c>
      <c r="I129" s="938" t="str">
        <f>VLOOKUP(D129,Poeng!$B$10:$BD$251,Poeng!BD$1,FALSE)</f>
        <v>N/A</v>
      </c>
      <c r="J129" s="80"/>
      <c r="K129" s="281"/>
      <c r="L129" s="809"/>
      <c r="M129" s="829"/>
      <c r="N129" s="1015"/>
      <c r="O129" s="891" t="str">
        <f>VLOOKUP(D129,Poeng!$B$10:$BB$251,Poeng!AI$1,FALSE)&amp;" c. "&amp;ROUND(VLOOKUP(D129,Poeng!$B$10:$BB$251,Poeng!AE$1,FALSE)*100,1)&amp;" %"</f>
        <v>0 c. 0 %</v>
      </c>
      <c r="P129" s="123" t="str">
        <f>VLOOKUP(D129,Poeng!$B$10:$BG$251,Poeng!BG$1,FALSE)</f>
        <v>N/A</v>
      </c>
      <c r="Q129" s="755"/>
      <c r="R129" s="756"/>
      <c r="S129" s="749"/>
      <c r="T129" s="319"/>
      <c r="U129" s="1015"/>
      <c r="V129" s="891" t="str">
        <f>VLOOKUP(D129,Poeng!$B$10:$BB$251,Poeng!AJ$1,FALSE)&amp;" c. "&amp;ROUND(VLOOKUP(D129,Poeng!$B$10:$BB$251,Poeng!AF$1,FALSE)*100,1)&amp;" %"</f>
        <v>0 c. 0 %</v>
      </c>
      <c r="W129" s="123" t="str">
        <f>VLOOKUP(D129,Poeng!$B$10:$BJ$251,Poeng!BJ$1,FALSE)</f>
        <v>N/A</v>
      </c>
      <c r="X129" s="81"/>
      <c r="Y129" s="80"/>
      <c r="Z129" s="749"/>
      <c r="AA129" s="133"/>
      <c r="AB129" s="648" t="s">
        <v>14</v>
      </c>
      <c r="AC129" s="107">
        <f t="shared" si="11"/>
        <v>1</v>
      </c>
      <c r="AD129" s="3" t="e">
        <f>VLOOKUP(K129,'Assessment Details'!$O$45:$P$48,2,FALSE)</f>
        <v>#N/A</v>
      </c>
      <c r="AE129" s="3" t="e">
        <f>VLOOKUP(R129,'Assessment Details'!$O$45:$P$48,2,FALSE)</f>
        <v>#N/A</v>
      </c>
      <c r="AF129" s="3" t="e">
        <f>VLOOKUP(Y129,'Assessment Details'!$O$45:$P$48,2,FALSE)</f>
        <v>#N/A</v>
      </c>
      <c r="AI129" s="70" t="str">
        <f>ais_yes</f>
        <v>Ja</v>
      </c>
      <c r="AJ129" s="679" t="s">
        <v>160</v>
      </c>
      <c r="AK129" s="656" t="s">
        <v>408</v>
      </c>
      <c r="AL129" s="656" t="s">
        <v>412</v>
      </c>
      <c r="AM129" s="656" t="s">
        <v>410</v>
      </c>
      <c r="AN129" s="70"/>
      <c r="AO129" s="70"/>
      <c r="AP129" s="70"/>
      <c r="AR129" s="1" t="s">
        <v>14</v>
      </c>
      <c r="AS129" s="23" t="str">
        <f t="shared" si="12"/>
        <v>N/A</v>
      </c>
      <c r="AT129" s="23" t="str">
        <f t="shared" si="13"/>
        <v>N/A</v>
      </c>
      <c r="AU129" s="23" t="str">
        <f t="shared" si="14"/>
        <v>N/A</v>
      </c>
      <c r="AV129" s="23"/>
      <c r="AW129" s="23"/>
      <c r="AX129" s="23"/>
      <c r="AZ129" s="650"/>
    </row>
    <row r="130" spans="1:52" x14ac:dyDescent="0.25">
      <c r="A130" s="1091">
        <v>121</v>
      </c>
      <c r="B130" s="1092" t="s">
        <v>70</v>
      </c>
      <c r="C130" s="1097" t="str">
        <f t="shared" si="18"/>
        <v>Mat 05</v>
      </c>
      <c r="D130" s="837" t="s">
        <v>783</v>
      </c>
      <c r="E130" s="875" t="str">
        <f>VLOOKUP(D130,Poeng!$B$10:$Q$251,Poeng!D$1,FALSE)</f>
        <v>Pre-requisite: risk analysis</v>
      </c>
      <c r="F130" s="122" t="str">
        <f>VLOOKUP(D130,Poeng!$B$10:$AA$251,Poeng!AA$1,FALSE)</f>
        <v>Yes/No</v>
      </c>
      <c r="G130" s="43"/>
      <c r="H130" s="123" t="str">
        <f>VLOOKUP(D130,Poeng!$B$10:$AD$251,Poeng!AD$1,FALSE)</f>
        <v>-</v>
      </c>
      <c r="I130" s="124" t="str">
        <f>VLOOKUP(D130,Poeng!$B$10:$BD$251,Poeng!BD$1,FALSE)</f>
        <v>N/A</v>
      </c>
      <c r="J130" s="80"/>
      <c r="K130" s="281"/>
      <c r="L130" s="809"/>
      <c r="M130" s="829"/>
      <c r="N130" s="83"/>
      <c r="O130" s="123" t="str">
        <f>VLOOKUP(D130,Poeng!$B$10:$BB$251,Poeng!AE$1,FALSE)</f>
        <v>-</v>
      </c>
      <c r="P130" s="123" t="str">
        <f>VLOOKUP(D130,Poeng!$B$10:$BG$251,Poeng!BG$1,FALSE)</f>
        <v>N/A</v>
      </c>
      <c r="Q130" s="755"/>
      <c r="R130" s="756"/>
      <c r="S130" s="749"/>
      <c r="T130" s="319"/>
      <c r="U130" s="83"/>
      <c r="V130" s="123" t="str">
        <f>VLOOKUP(D130,Poeng!$B$10:$BB$251,Poeng!AF$1,FALSE)</f>
        <v>-</v>
      </c>
      <c r="W130" s="123" t="str">
        <f>VLOOKUP(D130,Poeng!$B$10:$BJ$251,Poeng!BJ$1,FALSE)</f>
        <v>N/A</v>
      </c>
      <c r="X130" s="81"/>
      <c r="Y130" s="80"/>
      <c r="Z130" s="749"/>
      <c r="AA130" s="133"/>
      <c r="AB130" s="725"/>
      <c r="AC130" s="107">
        <f t="shared" si="11"/>
        <v>1</v>
      </c>
      <c r="AD130" s="3" t="e">
        <f>VLOOKUP(K130,'Assessment Details'!$O$45:$P$48,2,FALSE)</f>
        <v>#N/A</v>
      </c>
      <c r="AE130" s="3" t="e">
        <f>VLOOKUP(R130,'Assessment Details'!$O$45:$P$48,2,FALSE)</f>
        <v>#N/A</v>
      </c>
      <c r="AF130" s="3" t="e">
        <f>VLOOKUP(Y130,'Assessment Details'!$O$45:$P$48,2,FALSE)</f>
        <v>#N/A</v>
      </c>
      <c r="AI130" s="70"/>
      <c r="AJ130" s="679"/>
      <c r="AK130" s="656"/>
      <c r="AL130" s="656"/>
      <c r="AM130" s="656"/>
      <c r="AN130" s="70"/>
      <c r="AO130" s="70"/>
      <c r="AP130" s="70"/>
      <c r="AS130" s="23"/>
      <c r="AT130" s="23"/>
      <c r="AU130" s="23"/>
      <c r="AV130" s="23"/>
      <c r="AW130" s="23"/>
      <c r="AX130" s="23"/>
      <c r="AZ130" s="726"/>
    </row>
    <row r="131" spans="1:52" x14ac:dyDescent="0.25">
      <c r="A131" s="1091">
        <v>122</v>
      </c>
      <c r="B131" s="1092" t="s">
        <v>70</v>
      </c>
      <c r="C131" s="1097" t="str">
        <f t="shared" si="18"/>
        <v>Mat 05</v>
      </c>
      <c r="D131" s="837" t="s">
        <v>784</v>
      </c>
      <c r="E131" s="875" t="str">
        <f>VLOOKUP(D131,Poeng!$B$10:$Q$251,Poeng!D$1,FALSE)</f>
        <v>Protect vulnerable parts of the building from damage</v>
      </c>
      <c r="F131" s="122">
        <f>VLOOKUP(D131,Poeng!$B$10:$AA$251,Poeng!AA$1,FALSE)</f>
        <v>1</v>
      </c>
      <c r="G131" s="1088"/>
      <c r="H131" s="123">
        <f>VLOOKUP(D131,Poeng!$B$10:$AD$251,Poeng!AD$1,FALSE)</f>
        <v>0</v>
      </c>
      <c r="I131" s="124" t="str">
        <f>VLOOKUP(D131,Poeng!$B$10:$BD$251,Poeng!BD$1,FALSE)</f>
        <v>N/A</v>
      </c>
      <c r="J131" s="80"/>
      <c r="K131" s="281"/>
      <c r="L131" s="809"/>
      <c r="M131" s="829"/>
      <c r="N131" s="83"/>
      <c r="O131" s="123">
        <f>VLOOKUP(D131,Poeng!$B$10:$BB$251,Poeng!AE$1,FALSE)</f>
        <v>0</v>
      </c>
      <c r="P131" s="123" t="str">
        <f>VLOOKUP(D131,Poeng!$B$10:$BG$251,Poeng!BG$1,FALSE)</f>
        <v>N/A</v>
      </c>
      <c r="Q131" s="755"/>
      <c r="R131" s="756"/>
      <c r="S131" s="749"/>
      <c r="T131" s="319"/>
      <c r="U131" s="83"/>
      <c r="V131" s="123">
        <f>VLOOKUP(D131,Poeng!$B$10:$BB$251,Poeng!AF$1,FALSE)</f>
        <v>0</v>
      </c>
      <c r="W131" s="123" t="str">
        <f>VLOOKUP(D131,Poeng!$B$10:$BJ$251,Poeng!BJ$1,FALSE)</f>
        <v>N/A</v>
      </c>
      <c r="X131" s="81"/>
      <c r="Y131" s="80"/>
      <c r="Z131" s="749"/>
      <c r="AA131" s="133"/>
      <c r="AB131" s="725"/>
      <c r="AC131" s="107">
        <f t="shared" si="11"/>
        <v>1</v>
      </c>
      <c r="AD131" s="3" t="e">
        <f>VLOOKUP(K131,'Assessment Details'!$O$45:$P$48,2,FALSE)</f>
        <v>#N/A</v>
      </c>
      <c r="AE131" s="3" t="e">
        <f>VLOOKUP(R131,'Assessment Details'!$O$45:$P$48,2,FALSE)</f>
        <v>#N/A</v>
      </c>
      <c r="AF131" s="3" t="e">
        <f>VLOOKUP(Y131,'Assessment Details'!$O$45:$P$48,2,FALSE)</f>
        <v>#N/A</v>
      </c>
      <c r="AI131" s="70"/>
      <c r="AJ131" s="679"/>
      <c r="AK131" s="656"/>
      <c r="AL131" s="656"/>
      <c r="AM131" s="656"/>
      <c r="AN131" s="70"/>
      <c r="AO131" s="70"/>
      <c r="AP131" s="70"/>
      <c r="AS131" s="23"/>
      <c r="AT131" s="23"/>
      <c r="AU131" s="23"/>
      <c r="AV131" s="23"/>
      <c r="AW131" s="23"/>
      <c r="AX131" s="23"/>
      <c r="AZ131" s="726"/>
    </row>
    <row r="132" spans="1:52" ht="30" x14ac:dyDescent="0.25">
      <c r="A132" s="1091">
        <v>123</v>
      </c>
      <c r="B132" s="1092" t="s">
        <v>70</v>
      </c>
      <c r="C132" s="1097" t="str">
        <f t="shared" si="18"/>
        <v>Mat 05</v>
      </c>
      <c r="D132" s="837" t="s">
        <v>785</v>
      </c>
      <c r="E132" s="1086" t="str">
        <f>VLOOKUP(D132,Poeng!$B$10:$Q$251,Poeng!D$1,FALSE)</f>
        <v xml:space="preserve">Protecting exposed parts of the building from material degradation </v>
      </c>
      <c r="F132" s="122">
        <f>VLOOKUP(D132,Poeng!$B$10:$AA$251,Poeng!AA$1,FALSE)</f>
        <v>1</v>
      </c>
      <c r="G132" s="1088"/>
      <c r="H132" s="123">
        <f>VLOOKUP(D132,Poeng!$B$10:$AD$251,Poeng!AD$1,FALSE)</f>
        <v>0</v>
      </c>
      <c r="I132" s="124" t="str">
        <f>VLOOKUP(D132,Poeng!$B$10:$BD$251,Poeng!BD$1,FALSE)</f>
        <v>N/A</v>
      </c>
      <c r="J132" s="80"/>
      <c r="K132" s="281"/>
      <c r="L132" s="809"/>
      <c r="M132" s="829"/>
      <c r="N132" s="83"/>
      <c r="O132" s="123">
        <f>VLOOKUP(D132,Poeng!$B$10:$BB$251,Poeng!AE$1,FALSE)</f>
        <v>0</v>
      </c>
      <c r="P132" s="123" t="str">
        <f>VLOOKUP(D132,Poeng!$B$10:$BG$251,Poeng!BG$1,FALSE)</f>
        <v>N/A</v>
      </c>
      <c r="Q132" s="755"/>
      <c r="R132" s="756"/>
      <c r="S132" s="749"/>
      <c r="T132" s="319"/>
      <c r="U132" s="83"/>
      <c r="V132" s="123">
        <f>VLOOKUP(D132,Poeng!$B$10:$BB$251,Poeng!AF$1,FALSE)</f>
        <v>0</v>
      </c>
      <c r="W132" s="123" t="str">
        <f>VLOOKUP(D132,Poeng!$B$10:$BJ$251,Poeng!BJ$1,FALSE)</f>
        <v>N/A</v>
      </c>
      <c r="X132" s="81"/>
      <c r="Y132" s="80"/>
      <c r="Z132" s="749"/>
      <c r="AA132" s="133"/>
      <c r="AB132" s="725"/>
      <c r="AC132" s="107">
        <f t="shared" si="11"/>
        <v>1</v>
      </c>
      <c r="AD132" s="3" t="e">
        <f>VLOOKUP(K132,'Assessment Details'!$O$45:$P$48,2,FALSE)</f>
        <v>#N/A</v>
      </c>
      <c r="AE132" s="3" t="e">
        <f>VLOOKUP(R132,'Assessment Details'!$O$45:$P$48,2,FALSE)</f>
        <v>#N/A</v>
      </c>
      <c r="AF132" s="3" t="e">
        <f>VLOOKUP(Y132,'Assessment Details'!$O$45:$P$48,2,FALSE)</f>
        <v>#N/A</v>
      </c>
      <c r="AI132" s="70"/>
      <c r="AJ132" s="679"/>
      <c r="AK132" s="656"/>
      <c r="AL132" s="656"/>
      <c r="AM132" s="656"/>
      <c r="AN132" s="70"/>
      <c r="AO132" s="70"/>
      <c r="AP132" s="70"/>
      <c r="AS132" s="23"/>
      <c r="AT132" s="23"/>
      <c r="AU132" s="23"/>
      <c r="AV132" s="23"/>
      <c r="AW132" s="23"/>
      <c r="AX132" s="23"/>
      <c r="AZ132" s="726"/>
    </row>
    <row r="133" spans="1:52" x14ac:dyDescent="0.25">
      <c r="A133" s="1091">
        <v>124</v>
      </c>
      <c r="B133" s="1092" t="s">
        <v>70</v>
      </c>
      <c r="C133" s="1097" t="str">
        <f t="shared" si="18"/>
        <v>Mat 05</v>
      </c>
      <c r="D133" s="837" t="s">
        <v>786</v>
      </c>
      <c r="E133" s="1086" t="str">
        <f>VLOOKUP(D133,Poeng!$B$10:$Q$251,Poeng!D$1,FALSE)</f>
        <v>Control plan and moisture measurements</v>
      </c>
      <c r="F133" s="122">
        <f>VLOOKUP(D133,Poeng!$B$10:$AA$251,Poeng!AA$1,FALSE)</f>
        <v>1</v>
      </c>
      <c r="G133" s="1088"/>
      <c r="H133" s="123">
        <f>VLOOKUP(D133,Poeng!$B$10:$AD$251,Poeng!AD$1,FALSE)</f>
        <v>0</v>
      </c>
      <c r="I133" s="124" t="str">
        <f>VLOOKUP(D133,Poeng!$B$10:$BD$251,Poeng!BD$1,FALSE)</f>
        <v>Very Good</v>
      </c>
      <c r="J133" s="80"/>
      <c r="K133" s="281"/>
      <c r="L133" s="809"/>
      <c r="M133" s="829"/>
      <c r="N133" s="83"/>
      <c r="O133" s="123">
        <f>VLOOKUP(D133,Poeng!$B$10:$BB$251,Poeng!AE$1,FALSE)</f>
        <v>0</v>
      </c>
      <c r="P133" s="123" t="str">
        <f>VLOOKUP(D133,Poeng!$B$10:$BG$251,Poeng!BG$1,FALSE)</f>
        <v>Very Good</v>
      </c>
      <c r="Q133" s="755"/>
      <c r="R133" s="756"/>
      <c r="S133" s="749"/>
      <c r="T133" s="319"/>
      <c r="U133" s="83"/>
      <c r="V133" s="123">
        <f>VLOOKUP(D133,Poeng!$B$10:$BB$251,Poeng!AF$1,FALSE)</f>
        <v>0</v>
      </c>
      <c r="W133" s="123" t="str">
        <f>VLOOKUP(D133,Poeng!$B$10:$BJ$251,Poeng!BJ$1,FALSE)</f>
        <v>Very Good</v>
      </c>
      <c r="X133" s="81"/>
      <c r="Y133" s="80"/>
      <c r="Z133" s="749"/>
      <c r="AA133" s="133"/>
      <c r="AB133" s="725"/>
      <c r="AC133" s="107">
        <f t="shared" si="11"/>
        <v>1</v>
      </c>
      <c r="AD133" s="3" t="e">
        <f>VLOOKUP(K133,'Assessment Details'!$O$45:$P$48,2,FALSE)</f>
        <v>#N/A</v>
      </c>
      <c r="AE133" s="3" t="e">
        <f>VLOOKUP(R133,'Assessment Details'!$O$45:$P$48,2,FALSE)</f>
        <v>#N/A</v>
      </c>
      <c r="AF133" s="3" t="e">
        <f>VLOOKUP(Y133,'Assessment Details'!$O$45:$P$48,2,FALSE)</f>
        <v>#N/A</v>
      </c>
      <c r="AI133" s="70"/>
      <c r="AJ133" s="679"/>
      <c r="AK133" s="656"/>
      <c r="AL133" s="656"/>
      <c r="AM133" s="656"/>
      <c r="AN133" s="70"/>
      <c r="AO133" s="70"/>
      <c r="AP133" s="70"/>
      <c r="AS133" s="23"/>
      <c r="AT133" s="23"/>
      <c r="AU133" s="23"/>
      <c r="AV133" s="23"/>
      <c r="AW133" s="23"/>
      <c r="AX133" s="23"/>
      <c r="AZ133" s="726"/>
    </row>
    <row r="134" spans="1:52" x14ac:dyDescent="0.25">
      <c r="A134" s="1091">
        <v>125</v>
      </c>
      <c r="B134" s="1092" t="s">
        <v>70</v>
      </c>
      <c r="C134" s="1097" t="str">
        <f t="shared" si="18"/>
        <v>Mat 05</v>
      </c>
      <c r="D134" s="837" t="s">
        <v>899</v>
      </c>
      <c r="E134" s="875" t="str">
        <f>VLOOKUP(D134,Poeng!$B$10:$Q$251,Poeng!D$1,FALSE)</f>
        <v>Construction under cover</v>
      </c>
      <c r="F134" s="122">
        <f>VLOOKUP(D134,Poeng!$B$10:$AA$251,Poeng!AA$1,FALSE)</f>
        <v>1</v>
      </c>
      <c r="G134" s="1088"/>
      <c r="H134" s="123">
        <f>VLOOKUP(D134,Poeng!$B$10:$AD$251,Poeng!AD$1,FALSE)</f>
        <v>0</v>
      </c>
      <c r="I134" s="124" t="str">
        <f>VLOOKUP(D134,Poeng!$B$10:$BD$251,Poeng!BD$1,FALSE)</f>
        <v>N/A</v>
      </c>
      <c r="J134" s="80"/>
      <c r="K134" s="281"/>
      <c r="L134" s="809"/>
      <c r="M134" s="829"/>
      <c r="N134" s="83"/>
      <c r="O134" s="123">
        <f>VLOOKUP(D134,Poeng!$B$10:$BB$251,Poeng!AE$1,FALSE)</f>
        <v>0</v>
      </c>
      <c r="P134" s="123" t="str">
        <f>VLOOKUP(D134,Poeng!$B$10:$BG$251,Poeng!BG$1,FALSE)</f>
        <v>N/A</v>
      </c>
      <c r="Q134" s="755"/>
      <c r="R134" s="756"/>
      <c r="S134" s="749"/>
      <c r="T134" s="319"/>
      <c r="U134" s="83"/>
      <c r="V134" s="123">
        <f>VLOOKUP(D134,Poeng!$B$10:$BB$251,Poeng!AF$1,FALSE)</f>
        <v>0</v>
      </c>
      <c r="W134" s="123" t="str">
        <f>VLOOKUP(D134,Poeng!$B$10:$BJ$251,Poeng!BJ$1,FALSE)</f>
        <v>N/A</v>
      </c>
      <c r="X134" s="81"/>
      <c r="Y134" s="80"/>
      <c r="Z134" s="749"/>
      <c r="AA134" s="133"/>
      <c r="AB134" s="725"/>
      <c r="AC134" s="107">
        <f t="shared" si="11"/>
        <v>1</v>
      </c>
      <c r="AD134" s="3" t="e">
        <f>VLOOKUP(K134,'Assessment Details'!$O$45:$P$48,2,FALSE)</f>
        <v>#N/A</v>
      </c>
      <c r="AE134" s="3" t="e">
        <f>VLOOKUP(R134,'Assessment Details'!$O$45:$P$48,2,FALSE)</f>
        <v>#N/A</v>
      </c>
      <c r="AF134" s="3" t="e">
        <f>VLOOKUP(Y134,'Assessment Details'!$O$45:$P$48,2,FALSE)</f>
        <v>#N/A</v>
      </c>
      <c r="AI134" s="70"/>
      <c r="AJ134" s="679"/>
      <c r="AK134" s="656"/>
      <c r="AL134" s="656"/>
      <c r="AM134" s="656"/>
      <c r="AN134" s="70"/>
      <c r="AO134" s="70"/>
      <c r="AP134" s="70"/>
      <c r="AS134" s="23"/>
      <c r="AT134" s="23"/>
      <c r="AU134" s="23"/>
      <c r="AV134" s="23"/>
      <c r="AW134" s="23"/>
      <c r="AX134" s="23"/>
      <c r="AZ134" s="726"/>
    </row>
    <row r="135" spans="1:52" x14ac:dyDescent="0.25">
      <c r="A135" s="1091">
        <v>126</v>
      </c>
      <c r="B135" s="1092" t="s">
        <v>70</v>
      </c>
      <c r="C135" s="938" t="s">
        <v>178</v>
      </c>
      <c r="D135" s="837" t="s">
        <v>178</v>
      </c>
      <c r="E135" s="874" t="str">
        <f>VLOOKUP(D135,Poeng!$B$10:$Q$251,Poeng!D$1,FALSE)</f>
        <v>Mat 06 Material efficiency</v>
      </c>
      <c r="F135" s="879">
        <f>VLOOKUP(D135,Poeng!$B$10:$AA$251,Poeng!AA$1,FALSE)</f>
        <v>3</v>
      </c>
      <c r="G135" s="1015"/>
      <c r="H135" s="880" t="str">
        <f>VLOOKUP(D135,Poeng!$B$10:$AH$251,Poeng!AH$1,FALSE)&amp;" c. "&amp;ROUND(VLOOKUP(D135,Poeng!$B$10:$AD$251,Poeng!AD$1,FALSE)*100,1)&amp;" %"</f>
        <v>0 c. 0 %</v>
      </c>
      <c r="I135" s="938" t="str">
        <f>VLOOKUP(D135,Poeng!$B$10:$BD$251,Poeng!BD$1,FALSE)</f>
        <v>N/A</v>
      </c>
      <c r="J135" s="80"/>
      <c r="K135" s="281"/>
      <c r="L135" s="809"/>
      <c r="M135" s="829"/>
      <c r="N135" s="1015"/>
      <c r="O135" s="891" t="str">
        <f>VLOOKUP(D135,Poeng!$B$10:$BB$251,Poeng!AI$1,FALSE)&amp;" c. "&amp;ROUND(VLOOKUP(D135,Poeng!$B$10:$BB$251,Poeng!AE$1,FALSE)*100,1)&amp;" %"</f>
        <v>0 c. 0 %</v>
      </c>
      <c r="P135" s="123" t="str">
        <f>VLOOKUP(D135,Poeng!$B$10:$BG$251,Poeng!BG$1,FALSE)</f>
        <v>N/A</v>
      </c>
      <c r="Q135" s="755"/>
      <c r="R135" s="756"/>
      <c r="S135" s="749"/>
      <c r="T135" s="319"/>
      <c r="U135" s="1015"/>
      <c r="V135" s="891" t="str">
        <f>VLOOKUP(D135,Poeng!$B$10:$BB$251,Poeng!AJ$1,FALSE)&amp;" c. "&amp;ROUND(VLOOKUP(D135,Poeng!$B$10:$BB$251,Poeng!AF$1,FALSE)*100,1)&amp;" %"</f>
        <v>0 c. 0 %</v>
      </c>
      <c r="W135" s="123" t="str">
        <f>VLOOKUP(D135,Poeng!$B$10:$BJ$251,Poeng!BJ$1,FALSE)</f>
        <v>N/A</v>
      </c>
      <c r="X135" s="81"/>
      <c r="Y135" s="80"/>
      <c r="Z135" s="749"/>
      <c r="AA135" s="133"/>
      <c r="AB135" s="725"/>
      <c r="AC135" s="107">
        <f t="shared" si="11"/>
        <v>1</v>
      </c>
      <c r="AD135" s="3" t="e">
        <f>VLOOKUP(K135,'Assessment Details'!$O$45:$P$48,2,FALSE)</f>
        <v>#N/A</v>
      </c>
      <c r="AE135" s="3" t="e">
        <f>VLOOKUP(R135,'Assessment Details'!$O$45:$P$48,2,FALSE)</f>
        <v>#N/A</v>
      </c>
      <c r="AF135" s="3" t="e">
        <f>VLOOKUP(Y135,'Assessment Details'!$O$45:$P$48,2,FALSE)</f>
        <v>#N/A</v>
      </c>
      <c r="AI135" s="70"/>
      <c r="AJ135" s="679"/>
      <c r="AK135" s="656"/>
      <c r="AL135" s="656"/>
      <c r="AM135" s="656"/>
      <c r="AN135" s="70"/>
      <c r="AO135" s="70"/>
      <c r="AP135" s="70"/>
      <c r="AS135" s="23"/>
      <c r="AT135" s="23"/>
      <c r="AU135" s="23"/>
      <c r="AV135" s="23"/>
      <c r="AW135" s="23"/>
      <c r="AX135" s="23"/>
      <c r="AZ135" s="726"/>
    </row>
    <row r="136" spans="1:52" x14ac:dyDescent="0.25">
      <c r="A136" s="1091">
        <v>127</v>
      </c>
      <c r="B136" s="1092" t="s">
        <v>70</v>
      </c>
      <c r="C136" s="1097" t="str">
        <f>C135</f>
        <v>Mat 06</v>
      </c>
      <c r="D136" s="837" t="s">
        <v>1050</v>
      </c>
      <c r="E136" s="875" t="str">
        <f>VLOOKUP(D136,Poeng!$B$10:$Q$251,Poeng!D$1,FALSE)</f>
        <v>Minimum req: mapping for component reuse  - criterion 1</v>
      </c>
      <c r="F136" s="122" t="str">
        <f>VLOOKUP(D136,Poeng!$B$10:$AA$251,Poeng!AA$1,FALSE)</f>
        <v>Yes/No</v>
      </c>
      <c r="G136" s="43"/>
      <c r="H136" s="123" t="str">
        <f>VLOOKUP(D136,Poeng!$B$10:$AD$251,Poeng!AD$1,FALSE)</f>
        <v>-</v>
      </c>
      <c r="I136" s="124" t="str">
        <f>VLOOKUP(D136,Poeng!$B$10:$BD$251,Poeng!BD$1,FALSE)</f>
        <v>Unclassified</v>
      </c>
      <c r="J136" s="80"/>
      <c r="K136" s="281"/>
      <c r="L136" s="809"/>
      <c r="M136" s="829"/>
      <c r="N136" s="83"/>
      <c r="O136" s="123" t="str">
        <f>VLOOKUP(D136,Poeng!$B$10:$BB$251,Poeng!AE$1,FALSE)</f>
        <v>-</v>
      </c>
      <c r="P136" s="123" t="str">
        <f>VLOOKUP(D136,Poeng!$B$10:$BG$251,Poeng!BG$1,FALSE)</f>
        <v>Unclassified</v>
      </c>
      <c r="Q136" s="755"/>
      <c r="R136" s="756"/>
      <c r="S136" s="749"/>
      <c r="T136" s="319"/>
      <c r="U136" s="83"/>
      <c r="V136" s="123" t="str">
        <f>VLOOKUP(D136,Poeng!$B$10:$BB$251,Poeng!AF$1,FALSE)</f>
        <v>-</v>
      </c>
      <c r="W136" s="123" t="str">
        <f>VLOOKUP(D136,Poeng!$B$10:$BJ$251,Poeng!BJ$1,FALSE)</f>
        <v>Unclassified</v>
      </c>
      <c r="X136" s="81"/>
      <c r="Y136" s="80"/>
      <c r="Z136" s="749"/>
      <c r="AA136" s="133"/>
      <c r="AB136" s="878"/>
      <c r="AC136" s="107">
        <f t="shared" ref="AC136" si="19">IF(F136="",1,IF(F136=0,2,1))</f>
        <v>1</v>
      </c>
      <c r="AD136" s="3" t="e">
        <f>VLOOKUP(K136,'Assessment Details'!$O$45:$P$48,2,FALSE)</f>
        <v>#N/A</v>
      </c>
      <c r="AE136" s="3" t="e">
        <f>VLOOKUP(R136,'Assessment Details'!$O$45:$P$48,2,FALSE)</f>
        <v>#N/A</v>
      </c>
      <c r="AF136" s="3" t="e">
        <f>VLOOKUP(Y136,'Assessment Details'!$O$45:$P$48,2,FALSE)</f>
        <v>#N/A</v>
      </c>
      <c r="AI136" s="3"/>
      <c r="AJ136" s="3"/>
      <c r="AK136" s="738"/>
      <c r="AL136" s="738"/>
      <c r="AM136" s="738"/>
      <c r="AN136" s="3"/>
      <c r="AO136" s="3"/>
      <c r="AP136" s="3"/>
      <c r="AS136" s="23"/>
      <c r="AT136" s="23"/>
      <c r="AU136" s="23"/>
      <c r="AV136" s="23"/>
      <c r="AW136" s="23"/>
      <c r="AX136" s="23"/>
      <c r="AZ136" s="878"/>
    </row>
    <row r="137" spans="1:52" x14ac:dyDescent="0.25">
      <c r="A137" s="1091">
        <v>128</v>
      </c>
      <c r="B137" s="1092" t="s">
        <v>70</v>
      </c>
      <c r="C137" s="1097" t="str">
        <f>C135</f>
        <v>Mat 06</v>
      </c>
      <c r="D137" s="19" t="s">
        <v>787</v>
      </c>
      <c r="E137" s="875" t="str">
        <f>VLOOKUP(D137,Poeng!$B$10:$Q$251,Poeng!D$1,FALSE)</f>
        <v>Mapping for component reuse and implementation</v>
      </c>
      <c r="F137" s="122">
        <f>VLOOKUP(D137,Poeng!$B$10:$AA$251,Poeng!AA$1,FALSE)</f>
        <v>1</v>
      </c>
      <c r="G137" s="43"/>
      <c r="H137" s="123">
        <f>VLOOKUP(D137,Poeng!$B$10:$AD$251,Poeng!AD$1,FALSE)</f>
        <v>0</v>
      </c>
      <c r="I137" s="124" t="str">
        <f>VLOOKUP(D137,Poeng!$B$10:$BD$251,Poeng!BD$1,FALSE)</f>
        <v>Unclassified</v>
      </c>
      <c r="J137" s="80"/>
      <c r="K137" s="281"/>
      <c r="L137" s="809"/>
      <c r="M137" s="829"/>
      <c r="N137" s="83"/>
      <c r="O137" s="123">
        <f>VLOOKUP(D137,Poeng!$B$10:$BB$251,Poeng!AE$1,FALSE)</f>
        <v>0</v>
      </c>
      <c r="P137" s="123" t="str">
        <f>VLOOKUP(D137,Poeng!$B$10:$BG$251,Poeng!BG$1,FALSE)</f>
        <v>Unclassified</v>
      </c>
      <c r="Q137" s="755"/>
      <c r="R137" s="756"/>
      <c r="S137" s="749"/>
      <c r="T137" s="319"/>
      <c r="U137" s="83"/>
      <c r="V137" s="123">
        <f>VLOOKUP(D137,Poeng!$B$10:$BB$251,Poeng!AF$1,FALSE)</f>
        <v>0</v>
      </c>
      <c r="W137" s="123" t="str">
        <f>VLOOKUP(D137,Poeng!$B$10:$BJ$251,Poeng!BJ$1,FALSE)</f>
        <v>Unclassified</v>
      </c>
      <c r="X137" s="81"/>
      <c r="Y137" s="80"/>
      <c r="Z137" s="749"/>
      <c r="AC137" s="107">
        <f t="shared" si="11"/>
        <v>1</v>
      </c>
      <c r="AD137" s="3" t="e">
        <f>VLOOKUP(K137,'Assessment Details'!$O$45:$P$48,2,FALSE)</f>
        <v>#N/A</v>
      </c>
      <c r="AE137" s="3" t="e">
        <f>VLOOKUP(R137,'Assessment Details'!$O$45:$P$48,2,FALSE)</f>
        <v>#N/A</v>
      </c>
      <c r="AF137" s="3" t="e">
        <f>VLOOKUP(Y137,'Assessment Details'!$O$45:$P$48,2,FALSE)</f>
        <v>#N/A</v>
      </c>
    </row>
    <row r="138" spans="1:52" x14ac:dyDescent="0.25">
      <c r="A138" s="1091">
        <v>129</v>
      </c>
      <c r="B138" s="1092" t="s">
        <v>70</v>
      </c>
      <c r="C138" s="1097" t="str">
        <f t="shared" si="18"/>
        <v>Mat 06</v>
      </c>
      <c r="D138" s="19" t="s">
        <v>788</v>
      </c>
      <c r="E138" s="875" t="str">
        <f>VLOOKUP(D138,Poeng!$B$10:$Q$251,Poeng!D$1,FALSE)</f>
        <v>Material efficency</v>
      </c>
      <c r="F138" s="122">
        <f>VLOOKUP(D138,Poeng!$B$10:$AA$251,Poeng!AA$1,FALSE)</f>
        <v>1</v>
      </c>
      <c r="G138" s="43"/>
      <c r="H138" s="123">
        <f>VLOOKUP(D138,Poeng!$B$10:$AD$251,Poeng!AD$1,FALSE)</f>
        <v>0</v>
      </c>
      <c r="I138" s="124" t="str">
        <f>VLOOKUP(D138,Poeng!$B$10:$BD$251,Poeng!BD$1,FALSE)</f>
        <v>N/A</v>
      </c>
      <c r="J138" s="80"/>
      <c r="K138" s="281"/>
      <c r="L138" s="809"/>
      <c r="M138" s="829"/>
      <c r="N138" s="83"/>
      <c r="O138" s="123">
        <f>VLOOKUP(D138,Poeng!$B$10:$BB$251,Poeng!AE$1,FALSE)</f>
        <v>0</v>
      </c>
      <c r="P138" s="123" t="str">
        <f>VLOOKUP(D138,Poeng!$B$10:$BG$251,Poeng!BG$1,FALSE)</f>
        <v>N/A</v>
      </c>
      <c r="Q138" s="755"/>
      <c r="R138" s="756"/>
      <c r="S138" s="749"/>
      <c r="T138" s="319"/>
      <c r="U138" s="83"/>
      <c r="V138" s="123">
        <f>VLOOKUP(D138,Poeng!$B$10:$BB$251,Poeng!AF$1,FALSE)</f>
        <v>0</v>
      </c>
      <c r="W138" s="123" t="str">
        <f>VLOOKUP(D138,Poeng!$B$10:$BJ$251,Poeng!BJ$1,FALSE)</f>
        <v>N/A</v>
      </c>
      <c r="X138" s="81"/>
      <c r="Y138" s="80"/>
      <c r="Z138" s="749"/>
      <c r="AC138" s="107">
        <f t="shared" si="11"/>
        <v>1</v>
      </c>
      <c r="AD138" s="3" t="e">
        <f>VLOOKUP(K138,'Assessment Details'!$O$45:$P$48,2,FALSE)</f>
        <v>#N/A</v>
      </c>
      <c r="AE138" s="3" t="e">
        <f>VLOOKUP(R138,'Assessment Details'!$O$45:$P$48,2,FALSE)</f>
        <v>#N/A</v>
      </c>
      <c r="AF138" s="3" t="e">
        <f>VLOOKUP(Y138,'Assessment Details'!$O$45:$P$48,2,FALSE)</f>
        <v>#N/A</v>
      </c>
    </row>
    <row r="139" spans="1:52" x14ac:dyDescent="0.25">
      <c r="A139" s="1091">
        <v>130</v>
      </c>
      <c r="B139" s="1092" t="s">
        <v>70</v>
      </c>
      <c r="C139" s="1097" t="str">
        <f t="shared" si="18"/>
        <v>Mat 06</v>
      </c>
      <c r="D139" s="19" t="s">
        <v>789</v>
      </c>
      <c r="E139" s="875" t="str">
        <f>VLOOKUP(D139,Poeng!$B$10:$Q$251,Poeng!D$1,FALSE)</f>
        <v>Reuse of extern building components</v>
      </c>
      <c r="F139" s="122">
        <f>VLOOKUP(D139,Poeng!$B$10:$AA$251,Poeng!AA$1,FALSE)</f>
        <v>1</v>
      </c>
      <c r="G139" s="43"/>
      <c r="H139" s="123">
        <f>VLOOKUP(D139,Poeng!$B$10:$AD$251,Poeng!AD$1,FALSE)</f>
        <v>0</v>
      </c>
      <c r="I139" s="124" t="str">
        <f>VLOOKUP(D139,Poeng!$B$10:$BD$251,Poeng!BD$1,FALSE)</f>
        <v>N/A</v>
      </c>
      <c r="J139" s="80"/>
      <c r="K139" s="281"/>
      <c r="L139" s="809"/>
      <c r="M139" s="829"/>
      <c r="N139" s="83"/>
      <c r="O139" s="123">
        <f>VLOOKUP(D139,Poeng!$B$10:$BB$251,Poeng!AE$1,FALSE)</f>
        <v>0</v>
      </c>
      <c r="P139" s="123" t="str">
        <f>VLOOKUP(D139,Poeng!$B$10:$BG$251,Poeng!BG$1,FALSE)</f>
        <v>N/A</v>
      </c>
      <c r="Q139" s="755"/>
      <c r="R139" s="756"/>
      <c r="S139" s="749"/>
      <c r="T139" s="319"/>
      <c r="U139" s="83"/>
      <c r="V139" s="123">
        <f>VLOOKUP(D139,Poeng!$B$10:$BB$251,Poeng!AF$1,FALSE)</f>
        <v>0</v>
      </c>
      <c r="W139" s="123" t="str">
        <f>VLOOKUP(D139,Poeng!$B$10:$BJ$251,Poeng!BJ$1,FALSE)</f>
        <v>N/A</v>
      </c>
      <c r="X139" s="81"/>
      <c r="Y139" s="80"/>
      <c r="Z139" s="749"/>
      <c r="AC139" s="107">
        <f t="shared" si="11"/>
        <v>1</v>
      </c>
      <c r="AD139" s="3" t="e">
        <f>VLOOKUP(K139,'Assessment Details'!$O$45:$P$48,2,FALSE)</f>
        <v>#N/A</v>
      </c>
      <c r="AE139" s="3" t="e">
        <f>VLOOKUP(R139,'Assessment Details'!$O$45:$P$48,2,FALSE)</f>
        <v>#N/A</v>
      </c>
      <c r="AF139" s="3" t="e">
        <f>VLOOKUP(Y139,'Assessment Details'!$O$45:$P$48,2,FALSE)</f>
        <v>#N/A</v>
      </c>
    </row>
    <row r="140" spans="1:52" x14ac:dyDescent="0.25">
      <c r="A140" s="1091">
        <v>131</v>
      </c>
      <c r="B140" s="1092" t="s">
        <v>70</v>
      </c>
      <c r="C140" s="938" t="s">
        <v>481</v>
      </c>
      <c r="D140" s="837" t="s">
        <v>481</v>
      </c>
      <c r="E140" s="874" t="str">
        <f>VLOOKUP(D140,Poeng!$B$10:$Q$251,Poeng!D$1,FALSE)</f>
        <v>Mat 07 Design for disassembly and adaptability</v>
      </c>
      <c r="F140" s="879">
        <f>VLOOKUP(D140,Poeng!$B$10:$AA$251,Poeng!AA$1,FALSE)</f>
        <v>3</v>
      </c>
      <c r="G140" s="1015"/>
      <c r="H140" s="880" t="str">
        <f>VLOOKUP(D140,Poeng!$B$10:$AH$251,Poeng!AH$1,FALSE)&amp;" c. "&amp;ROUND(VLOOKUP(D140,Poeng!$B$10:$AD$251,Poeng!AD$1,FALSE)*100,1)&amp;" %"</f>
        <v>0 c. 0 %</v>
      </c>
      <c r="I140" s="938" t="str">
        <f>VLOOKUP(D140,Poeng!$B$10:$BD$251,Poeng!BD$1,FALSE)</f>
        <v>N/A</v>
      </c>
      <c r="J140" s="80"/>
      <c r="K140" s="281"/>
      <c r="L140" s="809"/>
      <c r="M140" s="829"/>
      <c r="N140" s="1015"/>
      <c r="O140" s="891" t="str">
        <f>VLOOKUP(D140,Poeng!$B$10:$BB$251,Poeng!AI$1,FALSE)&amp;" c. "&amp;ROUND(VLOOKUP(D140,Poeng!$B$10:$BB$251,Poeng!AE$1,FALSE)*100,1)&amp;" %"</f>
        <v>0 c. 0 %</v>
      </c>
      <c r="P140" s="123" t="str">
        <f>VLOOKUP(D140,Poeng!$B$10:$BG$251,Poeng!BG$1,FALSE)</f>
        <v>N/A</v>
      </c>
      <c r="Q140" s="755"/>
      <c r="R140" s="756"/>
      <c r="S140" s="749"/>
      <c r="T140" s="319"/>
      <c r="U140" s="1015"/>
      <c r="V140" s="891" t="str">
        <f>VLOOKUP(D140,Poeng!$B$10:$BB$251,Poeng!AJ$1,FALSE)&amp;" c. "&amp;ROUND(VLOOKUP(D140,Poeng!$B$10:$BB$251,Poeng!AF$1,FALSE)*100,1)&amp;" %"</f>
        <v>0 c. 0 %</v>
      </c>
      <c r="W140" s="123" t="str">
        <f>VLOOKUP(D140,Poeng!$B$10:$BJ$251,Poeng!BJ$1,FALSE)</f>
        <v>N/A</v>
      </c>
      <c r="X140" s="81"/>
      <c r="Y140" s="80"/>
      <c r="Z140" s="749"/>
      <c r="AA140" s="133"/>
      <c r="AB140" s="725"/>
      <c r="AC140" s="107">
        <f t="shared" si="11"/>
        <v>1</v>
      </c>
      <c r="AD140" s="3" t="e">
        <f>VLOOKUP(K140,'Assessment Details'!$O$45:$P$48,2,FALSE)</f>
        <v>#N/A</v>
      </c>
      <c r="AE140" s="3" t="e">
        <f>VLOOKUP(R140,'Assessment Details'!$O$45:$P$48,2,FALSE)</f>
        <v>#N/A</v>
      </c>
      <c r="AF140" s="3" t="e">
        <f>VLOOKUP(Y140,'Assessment Details'!$O$45:$P$48,2,FALSE)</f>
        <v>#N/A</v>
      </c>
      <c r="AI140" s="70"/>
      <c r="AJ140" s="679"/>
      <c r="AK140" s="656"/>
      <c r="AL140" s="656"/>
      <c r="AM140" s="656"/>
      <c r="AN140" s="70"/>
      <c r="AO140" s="70"/>
      <c r="AP140" s="70"/>
      <c r="AS140" s="23"/>
      <c r="AT140" s="23"/>
      <c r="AU140" s="23"/>
      <c r="AV140" s="23"/>
      <c r="AW140" s="23"/>
      <c r="AX140" s="23"/>
      <c r="AZ140" s="726"/>
    </row>
    <row r="141" spans="1:52" x14ac:dyDescent="0.25">
      <c r="A141" s="1091">
        <v>132</v>
      </c>
      <c r="B141" s="1092" t="s">
        <v>70</v>
      </c>
      <c r="C141" s="1097" t="str">
        <f t="shared" si="18"/>
        <v>Mat 07</v>
      </c>
      <c r="D141" s="19" t="s">
        <v>790</v>
      </c>
      <c r="E141" s="875" t="str">
        <f>VLOOKUP(D141,Poeng!$B$10:$Q$251,Poeng!D$1,FALSE)</f>
        <v>Resource inventory</v>
      </c>
      <c r="F141" s="122">
        <f>VLOOKUP(D141,Poeng!$B$10:$AA$251,Poeng!AA$1,FALSE)</f>
        <v>1</v>
      </c>
      <c r="G141" s="43"/>
      <c r="H141" s="123">
        <f>VLOOKUP(D141,Poeng!$B$10:$AD$251,Poeng!AD$1,FALSE)</f>
        <v>0</v>
      </c>
      <c r="I141" s="124" t="str">
        <f>VLOOKUP(D141,Poeng!$B$10:$BD$251,Poeng!BD$1,FALSE)</f>
        <v>N/A</v>
      </c>
      <c r="J141" s="80"/>
      <c r="K141" s="281"/>
      <c r="L141" s="809"/>
      <c r="M141" s="829"/>
      <c r="N141" s="83"/>
      <c r="O141" s="123">
        <f>VLOOKUP(D141,Poeng!$B$10:$BB$251,Poeng!AE$1,FALSE)</f>
        <v>0</v>
      </c>
      <c r="P141" s="123" t="str">
        <f>VLOOKUP(D141,Poeng!$B$10:$BG$251,Poeng!BG$1,FALSE)</f>
        <v>N/A</v>
      </c>
      <c r="Q141" s="755"/>
      <c r="R141" s="756"/>
      <c r="S141" s="749"/>
      <c r="T141" s="319"/>
      <c r="U141" s="83"/>
      <c r="V141" s="123">
        <f>VLOOKUP(D141,Poeng!$B$10:$BB$251,Poeng!AF$1,FALSE)</f>
        <v>0</v>
      </c>
      <c r="W141" s="123" t="str">
        <f>VLOOKUP(D141,Poeng!$B$10:$BJ$251,Poeng!BJ$1,FALSE)</f>
        <v>N/A</v>
      </c>
      <c r="X141" s="81"/>
      <c r="Y141" s="80"/>
      <c r="Z141" s="749"/>
      <c r="AC141" s="107">
        <f t="shared" si="11"/>
        <v>1</v>
      </c>
      <c r="AD141" s="3" t="e">
        <f>VLOOKUP(K141,'Assessment Details'!$O$45:$P$48,2,FALSE)</f>
        <v>#N/A</v>
      </c>
      <c r="AE141" s="3" t="e">
        <f>VLOOKUP(R141,'Assessment Details'!$O$45:$P$48,2,FALSE)</f>
        <v>#N/A</v>
      </c>
      <c r="AF141" s="3" t="e">
        <f>VLOOKUP(Y141,'Assessment Details'!$O$45:$P$48,2,FALSE)</f>
        <v>#N/A</v>
      </c>
    </row>
    <row r="142" spans="1:52" ht="30" x14ac:dyDescent="0.25">
      <c r="A142" s="1091">
        <v>133</v>
      </c>
      <c r="B142" s="1092" t="s">
        <v>70</v>
      </c>
      <c r="C142" s="1102" t="str">
        <f t="shared" si="18"/>
        <v>Mat 07</v>
      </c>
      <c r="D142" s="19" t="s">
        <v>791</v>
      </c>
      <c r="E142" s="1086" t="str">
        <f>VLOOKUP(D142,Poeng!$B$10:$Q$251,Poeng!D$1,FALSE)</f>
        <v xml:space="preserve">Design for disassembly and functional adaptability - recommendations </v>
      </c>
      <c r="F142" s="122">
        <f>VLOOKUP(D142,Poeng!$B$10:$AA$251,Poeng!AA$1,FALSE)</f>
        <v>1</v>
      </c>
      <c r="G142" s="43"/>
      <c r="H142" s="123">
        <f>VLOOKUP(D142,Poeng!$B$10:$AD$251,Poeng!AD$1,FALSE)</f>
        <v>0</v>
      </c>
      <c r="I142" s="124" t="str">
        <f>VLOOKUP(D142,Poeng!$B$10:$BD$251,Poeng!BD$1,FALSE)</f>
        <v>Very Good</v>
      </c>
      <c r="J142" s="80"/>
      <c r="K142" s="281"/>
      <c r="L142" s="809"/>
      <c r="M142" s="829"/>
      <c r="N142" s="83"/>
      <c r="O142" s="123">
        <f>VLOOKUP(D142,Poeng!$B$10:$BB$251,Poeng!AE$1,FALSE)</f>
        <v>0</v>
      </c>
      <c r="P142" s="123" t="str">
        <f>VLOOKUP(D142,Poeng!$B$10:$BG$251,Poeng!BG$1,FALSE)</f>
        <v>Very Good</v>
      </c>
      <c r="Q142" s="755"/>
      <c r="R142" s="756"/>
      <c r="S142" s="749"/>
      <c r="T142" s="319"/>
      <c r="U142" s="83"/>
      <c r="V142" s="123">
        <f>VLOOKUP(D142,Poeng!$B$10:$BB$251,Poeng!AF$1,FALSE)</f>
        <v>0</v>
      </c>
      <c r="W142" s="123" t="str">
        <f>VLOOKUP(D142,Poeng!$B$10:$BJ$251,Poeng!BJ$1,FALSE)</f>
        <v>Very Good</v>
      </c>
      <c r="X142" s="81"/>
      <c r="Y142" s="80"/>
      <c r="Z142" s="749"/>
      <c r="AC142" s="107">
        <f t="shared" ref="AC142:AC209" si="20">IF(F142="",1,IF(F142=0,2,1))</f>
        <v>1</v>
      </c>
      <c r="AD142" s="3" t="e">
        <f>VLOOKUP(K142,'Assessment Details'!$O$45:$P$48,2,FALSE)</f>
        <v>#N/A</v>
      </c>
      <c r="AE142" s="3" t="e">
        <f>VLOOKUP(R142,'Assessment Details'!$O$45:$P$48,2,FALSE)</f>
        <v>#N/A</v>
      </c>
      <c r="AF142" s="3" t="e">
        <f>VLOOKUP(Y142,'Assessment Details'!$O$45:$P$48,2,FALSE)</f>
        <v>#N/A</v>
      </c>
    </row>
    <row r="143" spans="1:52" x14ac:dyDescent="0.25">
      <c r="A143" s="1091">
        <v>134</v>
      </c>
      <c r="B143" s="1092" t="s">
        <v>70</v>
      </c>
      <c r="C143" s="1097" t="str">
        <f t="shared" si="18"/>
        <v>Mat 07</v>
      </c>
      <c r="D143" s="19" t="s">
        <v>792</v>
      </c>
      <c r="E143" s="875" t="str">
        <f>VLOOKUP(D143,Poeng!$B$10:$Q$251,Poeng!D$1,FALSE)</f>
        <v xml:space="preserve">Disassembly and functional adaptability - implementation </v>
      </c>
      <c r="F143" s="122">
        <f>VLOOKUP(D143,Poeng!$B$10:$AA$251,Poeng!AA$1,FALSE)</f>
        <v>1</v>
      </c>
      <c r="G143" s="43"/>
      <c r="H143" s="123">
        <f>VLOOKUP(D143,Poeng!$B$10:$AD$251,Poeng!AD$1,FALSE)</f>
        <v>0</v>
      </c>
      <c r="I143" s="124" t="str">
        <f>VLOOKUP(D143,Poeng!$B$10:$BD$251,Poeng!BD$1,FALSE)</f>
        <v>Very Good</v>
      </c>
      <c r="J143" s="80"/>
      <c r="K143" s="281"/>
      <c r="L143" s="809"/>
      <c r="M143" s="829"/>
      <c r="N143" s="83"/>
      <c r="O143" s="123">
        <f>VLOOKUP(D143,Poeng!$B$10:$BB$251,Poeng!AE$1,FALSE)</f>
        <v>0</v>
      </c>
      <c r="P143" s="123" t="str">
        <f>VLOOKUP(D143,Poeng!$B$10:$BG$251,Poeng!BG$1,FALSE)</f>
        <v>Very Good</v>
      </c>
      <c r="Q143" s="755"/>
      <c r="R143" s="756"/>
      <c r="S143" s="749"/>
      <c r="T143" s="319"/>
      <c r="U143" s="83"/>
      <c r="V143" s="123">
        <f>VLOOKUP(D143,Poeng!$B$10:$BB$251,Poeng!AF$1,FALSE)</f>
        <v>0</v>
      </c>
      <c r="W143" s="123" t="str">
        <f>VLOOKUP(D143,Poeng!$B$10:$BJ$251,Poeng!BJ$1,FALSE)</f>
        <v>Very Good</v>
      </c>
      <c r="X143" s="81"/>
      <c r="Y143" s="80"/>
      <c r="Z143" s="749"/>
      <c r="AC143" s="107">
        <f t="shared" si="20"/>
        <v>1</v>
      </c>
      <c r="AD143" s="3" t="e">
        <f>VLOOKUP(K143,'Assessment Details'!$O$45:$P$48,2,FALSE)</f>
        <v>#N/A</v>
      </c>
      <c r="AE143" s="3" t="e">
        <f>VLOOKUP(R143,'Assessment Details'!$O$45:$P$48,2,FALSE)</f>
        <v>#N/A</v>
      </c>
      <c r="AF143" s="3" t="e">
        <f>VLOOKUP(Y143,'Assessment Details'!$O$45:$P$48,2,FALSE)</f>
        <v>#N/A</v>
      </c>
    </row>
    <row r="144" spans="1:52" ht="15.75" thickBot="1" x14ac:dyDescent="0.3">
      <c r="A144" s="1091">
        <v>135</v>
      </c>
      <c r="B144" s="1092" t="s">
        <v>70</v>
      </c>
      <c r="C144" s="1098"/>
      <c r="D144" s="837" t="s">
        <v>891</v>
      </c>
      <c r="E144" s="320" t="s">
        <v>110</v>
      </c>
      <c r="F144" s="125">
        <f>Mat_Credits</f>
        <v>21</v>
      </c>
      <c r="G144" s="131"/>
      <c r="H144" s="126">
        <f>Mat_cont_tot</f>
        <v>0</v>
      </c>
      <c r="I144" s="881" t="str">
        <f>"Credits achieved: "&amp;Mat_tot_user</f>
        <v>Credits achieved: 0</v>
      </c>
      <c r="J144" s="134"/>
      <c r="K144" s="282"/>
      <c r="L144" s="757"/>
      <c r="M144" s="829"/>
      <c r="N144" s="383"/>
      <c r="O144" s="126">
        <f>VLOOKUP(D144,Poeng!$B$10:$BB$251,Poeng!AE$1,FALSE)</f>
        <v>0</v>
      </c>
      <c r="P144" s="881" t="str">
        <f>"Credits achieved: "&amp;Mat_c_user</f>
        <v>Credits achieved: 0</v>
      </c>
      <c r="Q144" s="758"/>
      <c r="R144" s="759"/>
      <c r="S144" s="757"/>
      <c r="T144" s="319"/>
      <c r="U144" s="383"/>
      <c r="V144" s="126">
        <f>VLOOKUP(D144,Poeng!$B$10:$BB$251,Poeng!AF$1,FALSE)</f>
        <v>0</v>
      </c>
      <c r="W144" s="881" t="str">
        <f>"Credits achieved: "&amp;Mat_d_user</f>
        <v>Credits achieved: 0</v>
      </c>
      <c r="X144" s="382"/>
      <c r="Y144" s="136"/>
      <c r="Z144" s="757"/>
      <c r="AA144" s="133"/>
      <c r="AB144" s="649"/>
      <c r="AC144" s="107">
        <f t="shared" si="20"/>
        <v>1</v>
      </c>
      <c r="AD144" s="276">
        <v>0</v>
      </c>
      <c r="AE144" s="276">
        <v>0</v>
      </c>
      <c r="AF144" s="276">
        <v>0</v>
      </c>
      <c r="AI144" s="70"/>
      <c r="AJ144" s="679" t="s">
        <v>110</v>
      </c>
      <c r="AK144" s="70"/>
      <c r="AL144" s="70"/>
      <c r="AM144" s="70"/>
      <c r="AN144" s="70"/>
      <c r="AO144" s="70"/>
      <c r="AP144" s="70"/>
      <c r="AS144" s="23" t="str">
        <f t="shared" si="12"/>
        <v>N/A</v>
      </c>
      <c r="AT144" s="23" t="str">
        <f t="shared" si="13"/>
        <v>N/A</v>
      </c>
      <c r="AU144" s="23" t="str">
        <f t="shared" si="14"/>
        <v>N/A</v>
      </c>
      <c r="AV144" s="23"/>
      <c r="AW144" s="23"/>
      <c r="AX144" s="23"/>
      <c r="AZ144" s="649"/>
    </row>
    <row r="145" spans="1:52" x14ac:dyDescent="0.25">
      <c r="A145" s="1091">
        <v>136</v>
      </c>
      <c r="B145" s="1092" t="s">
        <v>70</v>
      </c>
      <c r="C145" s="1100"/>
      <c r="D145" s="837"/>
      <c r="E145" s="334"/>
      <c r="F145" s="322"/>
      <c r="G145" s="323"/>
      <c r="H145" s="322"/>
      <c r="I145" s="322"/>
      <c r="J145" s="324"/>
      <c r="K145" s="323"/>
      <c r="L145" s="760"/>
      <c r="M145" s="828"/>
      <c r="N145" s="325"/>
      <c r="O145" s="325"/>
      <c r="P145" s="760"/>
      <c r="Q145" s="760"/>
      <c r="R145" s="761"/>
      <c r="S145" s="1109"/>
      <c r="T145" s="326"/>
      <c r="U145" s="325"/>
      <c r="V145" s="325"/>
      <c r="W145" s="760"/>
      <c r="X145" s="324"/>
      <c r="Y145" s="325"/>
      <c r="Z145" s="1109"/>
      <c r="AA145" s="710"/>
      <c r="AB145" s="324"/>
      <c r="AC145" s="107">
        <f t="shared" si="20"/>
        <v>1</v>
      </c>
      <c r="AD145" s="278">
        <v>0</v>
      </c>
      <c r="AE145" s="278">
        <v>0</v>
      </c>
      <c r="AF145" s="278">
        <v>0</v>
      </c>
      <c r="AI145" s="70"/>
      <c r="AJ145" s="679"/>
      <c r="AK145" s="70"/>
      <c r="AL145" s="70"/>
      <c r="AM145" s="70"/>
      <c r="AN145" s="70"/>
      <c r="AO145" s="70"/>
      <c r="AP145" s="70"/>
      <c r="AS145" s="23" t="str">
        <f t="shared" si="12"/>
        <v>N/A</v>
      </c>
      <c r="AT145" s="23" t="str">
        <f t="shared" si="13"/>
        <v>N/A</v>
      </c>
      <c r="AU145" s="23" t="str">
        <f t="shared" si="14"/>
        <v>N/A</v>
      </c>
      <c r="AV145" s="23"/>
      <c r="AW145" s="23"/>
      <c r="AX145" s="23"/>
      <c r="AZ145" s="324"/>
    </row>
    <row r="146" spans="1:52" ht="18.75" x14ac:dyDescent="0.25">
      <c r="A146" s="1091">
        <v>137</v>
      </c>
      <c r="B146" s="1092" t="s">
        <v>71</v>
      </c>
      <c r="C146" s="1101"/>
      <c r="D146" s="837"/>
      <c r="E146" s="335" t="s">
        <v>58</v>
      </c>
      <c r="F146" s="315"/>
      <c r="G146" s="316"/>
      <c r="H146" s="336"/>
      <c r="I146" s="315"/>
      <c r="J146" s="328"/>
      <c r="K146" s="329"/>
      <c r="L146" s="763"/>
      <c r="M146" s="829"/>
      <c r="N146" s="339"/>
      <c r="O146" s="332"/>
      <c r="P146" s="753"/>
      <c r="Q146" s="764"/>
      <c r="R146" s="765"/>
      <c r="S146" s="766"/>
      <c r="T146" s="319"/>
      <c r="U146" s="339"/>
      <c r="V146" s="338"/>
      <c r="W146" s="753"/>
      <c r="X146" s="328"/>
      <c r="Y146" s="338"/>
      <c r="Z146" s="763"/>
      <c r="AA146" s="133"/>
      <c r="AB146" s="337"/>
      <c r="AC146" s="107">
        <f t="shared" si="20"/>
        <v>1</v>
      </c>
      <c r="AD146" s="275">
        <v>0</v>
      </c>
      <c r="AE146" s="275">
        <v>0</v>
      </c>
      <c r="AF146" s="275">
        <v>0</v>
      </c>
      <c r="AI146" s="70"/>
      <c r="AJ146" s="679" t="s">
        <v>58</v>
      </c>
      <c r="AK146" s="70"/>
      <c r="AL146" s="70"/>
      <c r="AM146" s="70"/>
      <c r="AN146" s="70"/>
      <c r="AO146" s="70"/>
      <c r="AP146" s="70"/>
      <c r="AS146" s="23" t="str">
        <f t="shared" si="12"/>
        <v>N/A</v>
      </c>
      <c r="AT146" s="23" t="str">
        <f t="shared" si="13"/>
        <v>N/A</v>
      </c>
      <c r="AU146" s="23" t="str">
        <f t="shared" si="14"/>
        <v>N/A</v>
      </c>
      <c r="AV146" s="23"/>
      <c r="AW146" s="23"/>
      <c r="AX146" s="23"/>
      <c r="AZ146" s="337"/>
    </row>
    <row r="147" spans="1:52" x14ac:dyDescent="0.25">
      <c r="A147" s="1091">
        <v>138</v>
      </c>
      <c r="B147" s="1092" t="s">
        <v>71</v>
      </c>
      <c r="C147" s="938" t="s">
        <v>179</v>
      </c>
      <c r="D147" s="837" t="s">
        <v>179</v>
      </c>
      <c r="E147" s="874" t="str">
        <f>VLOOKUP(D147,Poeng!$B$10:$Q$251,Poeng!D$1,FALSE)</f>
        <v>Wst 01 Construction waste management</v>
      </c>
      <c r="F147" s="879">
        <f>VLOOKUP(D147,Poeng!$B$10:$AA$251,Poeng!AA$1,FALSE)</f>
        <v>5</v>
      </c>
      <c r="G147" s="1014"/>
      <c r="H147" s="880" t="str">
        <f>VLOOKUP(D147,Poeng!$B$10:$AH$251,Poeng!AH$1,FALSE)&amp;" c. "&amp;ROUND(VLOOKUP(D147,Poeng!$B$10:$AD$251,Poeng!AD$1,FALSE)*100,1)&amp;" %"</f>
        <v>0 c. 0 %</v>
      </c>
      <c r="I147" s="937" t="str">
        <f>VLOOKUP(D147,Poeng!$B$10:$BD$251,Poeng!BD$1,FALSE)</f>
        <v>N/A</v>
      </c>
      <c r="J147" s="888"/>
      <c r="K147" s="889"/>
      <c r="L147" s="890"/>
      <c r="M147" s="828"/>
      <c r="N147" s="1015"/>
      <c r="O147" s="1108" t="str">
        <f>VLOOKUP(D147,Poeng!$B$10:$BB$251,Poeng!AI$1,FALSE)&amp;" c. "&amp;ROUND(VLOOKUP(D147,Poeng!$B$10:$BB$251,Poeng!AE$1,FALSE)*100,1)&amp;" %"</f>
        <v>0 c. 0 %</v>
      </c>
      <c r="P147" s="123" t="str">
        <f>VLOOKUP(D147,Poeng!$B$10:$BG$251,Poeng!BG$1,FALSE)</f>
        <v>N/A</v>
      </c>
      <c r="Q147" s="755"/>
      <c r="R147" s="756"/>
      <c r="S147" s="749"/>
      <c r="T147" s="319"/>
      <c r="U147" s="1015"/>
      <c r="V147" s="891" t="str">
        <f>VLOOKUP(D147,Poeng!$B$10:$BB$251,Poeng!AJ$1,FALSE)&amp;" c. "&amp;ROUND(VLOOKUP(D147,Poeng!$B$10:$BB$251,Poeng!AF$1,FALSE)*100,1)&amp;" %"</f>
        <v>0 c. 0 %</v>
      </c>
      <c r="W147" s="123" t="str">
        <f>VLOOKUP(D147,Poeng!$B$10:$BJ$251,Poeng!BJ$1,FALSE)</f>
        <v>N/A</v>
      </c>
      <c r="X147" s="81"/>
      <c r="Y147" s="80"/>
      <c r="Z147" s="749"/>
      <c r="AA147" s="133"/>
      <c r="AB147" s="648" t="s">
        <v>15</v>
      </c>
      <c r="AC147" s="107">
        <f t="shared" si="20"/>
        <v>1</v>
      </c>
      <c r="AD147" s="3" t="e">
        <f>VLOOKUP(K147,'Assessment Details'!$O$45:$P$48,2,FALSE)</f>
        <v>#N/A</v>
      </c>
      <c r="AE147" s="3" t="e">
        <f>VLOOKUP(R147,'Assessment Details'!$O$45:$P$48,2,FALSE)</f>
        <v>#N/A</v>
      </c>
      <c r="AF147" s="3" t="e">
        <f>VLOOKUP(Y147,'Assessment Details'!$O$45:$P$48,2,FALSE)</f>
        <v>#N/A</v>
      </c>
      <c r="AI147" s="70"/>
      <c r="AJ147" s="679" t="s">
        <v>161</v>
      </c>
      <c r="AK147" s="70"/>
      <c r="AL147" s="70"/>
      <c r="AM147" s="70"/>
      <c r="AN147" s="70"/>
      <c r="AO147" s="70"/>
      <c r="AP147" s="70"/>
      <c r="AS147" s="23" t="str">
        <f t="shared" si="12"/>
        <v>N/A</v>
      </c>
      <c r="AT147" s="23" t="str">
        <f t="shared" si="13"/>
        <v>N/A</v>
      </c>
      <c r="AU147" s="23" t="str">
        <f t="shared" si="14"/>
        <v>N/A</v>
      </c>
      <c r="AV147" s="23"/>
      <c r="AW147" s="23"/>
      <c r="AX147" s="23"/>
      <c r="AZ147" s="648"/>
    </row>
    <row r="148" spans="1:52" x14ac:dyDescent="0.25">
      <c r="A148" s="1091">
        <v>139</v>
      </c>
      <c r="B148" s="1092" t="s">
        <v>71</v>
      </c>
      <c r="C148" s="1097" t="str">
        <f>C147</f>
        <v>Wst 01</v>
      </c>
      <c r="D148" s="837" t="s">
        <v>1046</v>
      </c>
      <c r="E148" s="875" t="str">
        <f>VLOOKUP(D148,Poeng!$B$10:$Q$256,Poeng!D$1,FALSE)</f>
        <v>EU taxonomy requirement: criterion 1</v>
      </c>
      <c r="F148" s="122" t="str">
        <f>VLOOKUP(D148,Poeng!$B$10:$AA$256,Poeng!AA$1,FALSE)</f>
        <v>Yes/No</v>
      </c>
      <c r="G148" s="43"/>
      <c r="H148" s="123" t="str">
        <f>VLOOKUP(D148,Poeng!$B$10:$AD$256,Poeng!AD$1,FALSE)</f>
        <v>-</v>
      </c>
      <c r="I148" s="124" t="str">
        <f>VLOOKUP(D148,Poeng!$B$10:$BD$256,Poeng!BD$1,FALSE)</f>
        <v>N/A</v>
      </c>
      <c r="J148" s="1134"/>
      <c r="K148" s="1135"/>
      <c r="L148" s="1136"/>
      <c r="M148" s="828"/>
      <c r="N148" s="83"/>
      <c r="O148" s="123" t="str">
        <f>VLOOKUP(D148,Poeng!$B$10:$BB$256,Poeng!AE$1,FALSE)</f>
        <v>-</v>
      </c>
      <c r="P148" s="123" t="str">
        <f>VLOOKUP(D148,Poeng!$B$10:$BG$256,Poeng!BG$1,FALSE)</f>
        <v>N/A</v>
      </c>
      <c r="Q148" s="755"/>
      <c r="R148" s="756"/>
      <c r="S148" s="749"/>
      <c r="T148" s="319"/>
      <c r="U148" s="83"/>
      <c r="V148" s="123" t="str">
        <f>VLOOKUP(D148,Poeng!$B$10:$BB$256,Poeng!AF$1,FALSE)</f>
        <v>-</v>
      </c>
      <c r="W148" s="123" t="str">
        <f>VLOOKUP(D148,Poeng!$B$10:$BJ$256,Poeng!BJ$1,FALSE)</f>
        <v>N/A</v>
      </c>
      <c r="X148" s="81"/>
      <c r="Y148" s="80"/>
      <c r="Z148" s="749"/>
      <c r="AA148" s="133"/>
      <c r="AB148" s="878"/>
      <c r="AC148" s="107">
        <f t="shared" ref="AC148" si="21">IF(F148="",1,IF(F148=0,2,1))</f>
        <v>1</v>
      </c>
      <c r="AD148" s="3" t="e">
        <f>VLOOKUP(K148,'Assessment Details'!$O$45:$P$48,2,FALSE)</f>
        <v>#N/A</v>
      </c>
      <c r="AE148" s="3" t="e">
        <f>VLOOKUP(R148,'Assessment Details'!$O$45:$P$48,2,FALSE)</f>
        <v>#N/A</v>
      </c>
      <c r="AF148" s="3" t="e">
        <f>VLOOKUP(Y148,'Assessment Details'!$O$45:$P$48,2,FALSE)</f>
        <v>#N/A</v>
      </c>
      <c r="AI148" s="3"/>
      <c r="AJ148" s="3"/>
      <c r="AK148" s="3"/>
      <c r="AL148" s="3"/>
      <c r="AM148" s="3"/>
      <c r="AN148" s="3"/>
      <c r="AO148" s="3"/>
      <c r="AP148" s="3"/>
      <c r="AS148" s="23"/>
      <c r="AT148" s="23"/>
      <c r="AU148" s="23"/>
      <c r="AV148" s="23"/>
      <c r="AW148" s="23"/>
      <c r="AX148" s="23"/>
      <c r="AZ148" s="878"/>
    </row>
    <row r="149" spans="1:52" x14ac:dyDescent="0.25">
      <c r="A149" s="1091">
        <v>140</v>
      </c>
      <c r="B149" s="1092" t="s">
        <v>71</v>
      </c>
      <c r="C149" s="1097" t="str">
        <f>C147</f>
        <v>Wst 01</v>
      </c>
      <c r="D149" s="19" t="s">
        <v>793</v>
      </c>
      <c r="E149" s="875" t="str">
        <f>VLOOKUP(D149,Poeng!$B$10:$Q$251,Poeng!D$1,FALSE)</f>
        <v>Resource managment plan</v>
      </c>
      <c r="F149" s="122">
        <f>VLOOKUP(D149,Poeng!$B$10:$AA$251,Poeng!AA$1,FALSE)</f>
        <v>1</v>
      </c>
      <c r="G149" s="43"/>
      <c r="H149" s="123">
        <f>VLOOKUP(D149,Poeng!$B$10:$AD$251,Poeng!AD$1,FALSE)</f>
        <v>0</v>
      </c>
      <c r="I149" s="124" t="str">
        <f>VLOOKUP(D149,Poeng!$B$10:$BD$251,Poeng!BD$1,FALSE)</f>
        <v>Good</v>
      </c>
      <c r="J149" s="80"/>
      <c r="K149" s="281"/>
      <c r="L149" s="809"/>
      <c r="M149" s="829"/>
      <c r="N149" s="83"/>
      <c r="O149" s="123">
        <f>VLOOKUP(D149,Poeng!$B$10:$BB$251,Poeng!AE$1,FALSE)</f>
        <v>0</v>
      </c>
      <c r="P149" s="123" t="str">
        <f>VLOOKUP(D149,Poeng!$B$10:$BG$251,Poeng!BG$1,FALSE)</f>
        <v>Good</v>
      </c>
      <c r="Q149" s="755"/>
      <c r="R149" s="756"/>
      <c r="S149" s="749"/>
      <c r="T149" s="319"/>
      <c r="U149" s="83"/>
      <c r="V149" s="123">
        <f>VLOOKUP(D149,Poeng!$B$10:$BB$251,Poeng!AF$1,FALSE)</f>
        <v>0</v>
      </c>
      <c r="W149" s="123" t="str">
        <f>VLOOKUP(D149,Poeng!$B$10:$BJ$251,Poeng!BJ$1,FALSE)</f>
        <v>Good</v>
      </c>
      <c r="X149" s="81"/>
      <c r="Y149" s="80"/>
      <c r="Z149" s="749"/>
      <c r="AC149" s="107">
        <f t="shared" si="20"/>
        <v>1</v>
      </c>
      <c r="AD149" s="3" t="e">
        <f>VLOOKUP(K149,'Assessment Details'!$O$45:$P$48,2,FALSE)</f>
        <v>#N/A</v>
      </c>
      <c r="AE149" s="3" t="e">
        <f>VLOOKUP(R149,'Assessment Details'!$O$45:$P$48,2,FALSE)</f>
        <v>#N/A</v>
      </c>
      <c r="AF149" s="3" t="e">
        <f>VLOOKUP(Y149,'Assessment Details'!$O$45:$P$48,2,FALSE)</f>
        <v>#N/A</v>
      </c>
    </row>
    <row r="150" spans="1:52" x14ac:dyDescent="0.25">
      <c r="A150" s="1091">
        <v>141</v>
      </c>
      <c r="B150" s="1092" t="s">
        <v>71</v>
      </c>
      <c r="C150" s="1097" t="str">
        <f t="shared" si="18"/>
        <v>Wst 01</v>
      </c>
      <c r="D150" s="19" t="s">
        <v>794</v>
      </c>
      <c r="E150" s="875" t="str">
        <f>VLOOKUP(D150,Poeng!$B$10:$Q$251,Poeng!D$1,FALSE)</f>
        <v>Amount of construction waste</v>
      </c>
      <c r="F150" s="122">
        <f>VLOOKUP(D150,Poeng!$B$10:$AA$251,Poeng!AA$1,FALSE)</f>
        <v>2</v>
      </c>
      <c r="G150" s="43"/>
      <c r="H150" s="123">
        <f>VLOOKUP(D150,Poeng!$B$10:$AD$251,Poeng!AD$1,FALSE)</f>
        <v>0</v>
      </c>
      <c r="I150" s="124" t="str">
        <f>VLOOKUP(D150,Poeng!$B$10:$BD$251,Poeng!BD$1,FALSE)</f>
        <v>Excellent</v>
      </c>
      <c r="J150" s="80"/>
      <c r="K150" s="281"/>
      <c r="L150" s="809"/>
      <c r="M150" s="829"/>
      <c r="N150" s="83"/>
      <c r="O150" s="123">
        <f>VLOOKUP(D150,Poeng!$B$10:$BB$251,Poeng!AE$1,FALSE)</f>
        <v>0</v>
      </c>
      <c r="P150" s="123" t="str">
        <f>VLOOKUP(D150,Poeng!$B$10:$BG$251,Poeng!BG$1,FALSE)</f>
        <v>Excellent</v>
      </c>
      <c r="Q150" s="755"/>
      <c r="R150" s="756"/>
      <c r="S150" s="749"/>
      <c r="T150" s="319"/>
      <c r="U150" s="83"/>
      <c r="V150" s="123">
        <f>VLOOKUP(D150,Poeng!$B$10:$BB$251,Poeng!AF$1,FALSE)</f>
        <v>0</v>
      </c>
      <c r="W150" s="123" t="str">
        <f>VLOOKUP(D150,Poeng!$B$10:$BJ$251,Poeng!BJ$1,FALSE)</f>
        <v>Excellent</v>
      </c>
      <c r="X150" s="81"/>
      <c r="Y150" s="80"/>
      <c r="Z150" s="749"/>
      <c r="AC150" s="107">
        <f t="shared" si="20"/>
        <v>1</v>
      </c>
      <c r="AD150" s="3" t="e">
        <f>VLOOKUP(K150,'Assessment Details'!$O$45:$P$48,2,FALSE)</f>
        <v>#N/A</v>
      </c>
      <c r="AE150" s="3" t="e">
        <f>VLOOKUP(R150,'Assessment Details'!$O$45:$P$48,2,FALSE)</f>
        <v>#N/A</v>
      </c>
      <c r="AF150" s="3" t="e">
        <f>VLOOKUP(Y150,'Assessment Details'!$O$45:$P$48,2,FALSE)</f>
        <v>#N/A</v>
      </c>
    </row>
    <row r="151" spans="1:52" x14ac:dyDescent="0.25">
      <c r="A151" s="1091">
        <v>142</v>
      </c>
      <c r="B151" s="1092" t="s">
        <v>71</v>
      </c>
      <c r="C151" s="1097" t="str">
        <f t="shared" si="18"/>
        <v>Wst 01</v>
      </c>
      <c r="D151" s="19" t="s">
        <v>795</v>
      </c>
      <c r="E151" s="875" t="str">
        <f>VLOOKUP(D151,Poeng!$B$10:$Q$251,Poeng!D$1,FALSE)</f>
        <v>Waste sorting, reuse and recycling</v>
      </c>
      <c r="F151" s="122">
        <f>VLOOKUP(D151,Poeng!$B$10:$AA$251,Poeng!AA$1,FALSE)</f>
        <v>2</v>
      </c>
      <c r="G151" s="43"/>
      <c r="H151" s="123">
        <f>VLOOKUP(D151,Poeng!$B$10:$AD$251,Poeng!AD$1,FALSE)</f>
        <v>0</v>
      </c>
      <c r="I151" s="124" t="str">
        <f>VLOOKUP(D151,Poeng!$B$10:$BD$251,Poeng!BD$1,FALSE)</f>
        <v>Unclassified</v>
      </c>
      <c r="J151" s="80"/>
      <c r="K151" s="281"/>
      <c r="L151" s="809"/>
      <c r="M151" s="829"/>
      <c r="N151" s="83"/>
      <c r="O151" s="123">
        <f>VLOOKUP(D151,Poeng!$B$10:$BB$251,Poeng!AE$1,FALSE)</f>
        <v>0</v>
      </c>
      <c r="P151" s="123" t="str">
        <f>VLOOKUP(D151,Poeng!$B$10:$BG$251,Poeng!BG$1,FALSE)</f>
        <v>Unclassified</v>
      </c>
      <c r="Q151" s="755"/>
      <c r="R151" s="756"/>
      <c r="S151" s="749"/>
      <c r="T151" s="319"/>
      <c r="U151" s="83"/>
      <c r="V151" s="123">
        <f>VLOOKUP(D151,Poeng!$B$10:$BB$251,Poeng!AF$1,FALSE)</f>
        <v>0</v>
      </c>
      <c r="W151" s="123" t="str">
        <f>VLOOKUP(D151,Poeng!$B$10:$BJ$251,Poeng!BJ$1,FALSE)</f>
        <v>Unclassified</v>
      </c>
      <c r="X151" s="81"/>
      <c r="Y151" s="80"/>
      <c r="Z151" s="749"/>
      <c r="AC151" s="107">
        <f t="shared" si="20"/>
        <v>1</v>
      </c>
      <c r="AD151" s="3" t="e">
        <f>VLOOKUP(K151,'Assessment Details'!$O$45:$P$48,2,FALSE)</f>
        <v>#N/A</v>
      </c>
      <c r="AE151" s="3" t="e">
        <f>VLOOKUP(R151,'Assessment Details'!$O$45:$P$48,2,FALSE)</f>
        <v>#N/A</v>
      </c>
      <c r="AF151" s="3" t="e">
        <f>VLOOKUP(Y151,'Assessment Details'!$O$45:$P$48,2,FALSE)</f>
        <v>#N/A</v>
      </c>
    </row>
    <row r="152" spans="1:52" x14ac:dyDescent="0.25">
      <c r="A152" s="1091">
        <v>143</v>
      </c>
      <c r="B152" s="1092" t="s">
        <v>71</v>
      </c>
      <c r="C152" s="1097" t="str">
        <f t="shared" si="18"/>
        <v>Wst 01</v>
      </c>
      <c r="D152" s="19" t="s">
        <v>992</v>
      </c>
      <c r="E152" s="875" t="str">
        <f>VLOOKUP(D152,Poeng!$B$10:$Q$251,Poeng!D$1,FALSE)</f>
        <v>Minimum req: waste sorting ≥75%</v>
      </c>
      <c r="F152" s="122" t="str">
        <f>VLOOKUP(D152,Poeng!$B$10:$AA$251,Poeng!AA$1,FALSE)</f>
        <v>Yes/No</v>
      </c>
      <c r="G152" s="43"/>
      <c r="H152" s="123" t="str">
        <f>VLOOKUP(D152,Poeng!$B$10:$AD$251,Poeng!AD$1,FALSE)</f>
        <v>-</v>
      </c>
      <c r="I152" s="124" t="str">
        <f>VLOOKUP(D152,Poeng!$B$10:$BD$251,Poeng!BD$1,FALSE)</f>
        <v>Unclassified</v>
      </c>
      <c r="J152" s="80"/>
      <c r="K152" s="281" t="s">
        <v>0</v>
      </c>
      <c r="L152" s="809"/>
      <c r="M152" s="829"/>
      <c r="N152" s="83"/>
      <c r="O152" s="123" t="str">
        <f>VLOOKUP(D152,Poeng!$B$10:$BB$251,Poeng!AE$1,FALSE)</f>
        <v>-</v>
      </c>
      <c r="P152" s="123" t="str">
        <f>VLOOKUP(D152,Poeng!$B$10:$BG$251,Poeng!BG$1,FALSE)</f>
        <v>Unclassified</v>
      </c>
      <c r="Q152" s="755"/>
      <c r="R152" s="756"/>
      <c r="S152" s="749"/>
      <c r="T152" s="319"/>
      <c r="U152" s="83"/>
      <c r="V152" s="123" t="str">
        <f>VLOOKUP(D152,Poeng!$B$10:$BB$251,Poeng!AF$1,FALSE)</f>
        <v>-</v>
      </c>
      <c r="W152" s="123" t="str">
        <f>VLOOKUP(D152,Poeng!$B$10:$BJ$251,Poeng!BJ$1,FALSE)</f>
        <v>Unclassified</v>
      </c>
      <c r="X152" s="81"/>
      <c r="Y152" s="80"/>
      <c r="Z152" s="749"/>
      <c r="AC152" s="107">
        <f t="shared" ref="AC152" si="22">IF(F152="",1,IF(F152=0,2,1))</f>
        <v>1</v>
      </c>
      <c r="AD152" s="3">
        <f>VLOOKUP(K152,'Assessment Details'!$O$45:$P$48,2,FALSE)</f>
        <v>4</v>
      </c>
      <c r="AE152" s="3" t="e">
        <f>VLOOKUP(R152,'Assessment Details'!$O$45:$P$48,2,FALSE)</f>
        <v>#N/A</v>
      </c>
      <c r="AF152" s="3" t="e">
        <f>VLOOKUP(Y152,'Assessment Details'!$O$45:$P$48,2,FALSE)</f>
        <v>#N/A</v>
      </c>
    </row>
    <row r="153" spans="1:52" x14ac:dyDescent="0.25">
      <c r="A153" s="1091">
        <v>144</v>
      </c>
      <c r="B153" s="1092" t="s">
        <v>71</v>
      </c>
      <c r="C153" s="938" t="s">
        <v>375</v>
      </c>
      <c r="D153" s="837" t="s">
        <v>375</v>
      </c>
      <c r="E153" s="874" t="str">
        <f>VLOOKUP(D153,Poeng!$B$10:$Q$251,Poeng!D$1,FALSE)</f>
        <v>Wst 03a Operational waste</v>
      </c>
      <c r="F153" s="879">
        <f>VLOOKUP(D153,Poeng!$B$10:$AA$251,Poeng!AA$1,FALSE)</f>
        <v>1</v>
      </c>
      <c r="G153" s="1015"/>
      <c r="H153" s="880" t="str">
        <f>VLOOKUP(D153,Poeng!$B$10:$AH$251,Poeng!AH$1,FALSE)&amp;" c. "&amp;ROUND(VLOOKUP(D153,Poeng!$B$10:$AD$251,Poeng!AD$1,FALSE)*100,1)&amp;" %"</f>
        <v>0 c. 0 %</v>
      </c>
      <c r="I153" s="938" t="str">
        <f>VLOOKUP(D153,Poeng!$B$10:$BD$251,Poeng!BD$1,FALSE)</f>
        <v>N/A</v>
      </c>
      <c r="J153" s="80"/>
      <c r="K153" s="281"/>
      <c r="L153" s="809"/>
      <c r="M153" s="829"/>
      <c r="N153" s="1015"/>
      <c r="O153" s="891" t="str">
        <f>VLOOKUP(D153,Poeng!$B$10:$BB$251,Poeng!AI$1,FALSE)&amp;" c. "&amp;ROUND(VLOOKUP(D153,Poeng!$B$10:$BB$251,Poeng!AE$1,FALSE)*100,1)&amp;" %"</f>
        <v>0 c. 0 %</v>
      </c>
      <c r="P153" s="123" t="str">
        <f>VLOOKUP(D153,Poeng!$B$10:$BG$251,Poeng!BG$1,FALSE)</f>
        <v>N/A</v>
      </c>
      <c r="Q153" s="755"/>
      <c r="R153" s="756"/>
      <c r="S153" s="749"/>
      <c r="T153" s="319"/>
      <c r="U153" s="1015"/>
      <c r="V153" s="891" t="str">
        <f>VLOOKUP(D153,Poeng!$B$10:$BB$251,Poeng!AJ$1,FALSE)&amp;" c. "&amp;ROUND(VLOOKUP(D153,Poeng!$B$10:$BB$251,Poeng!AF$1,FALSE)*100,1)&amp;" %"</f>
        <v>0 c. 0 %</v>
      </c>
      <c r="W153" s="123" t="str">
        <f>VLOOKUP(D153,Poeng!$B$10:$BJ$251,Poeng!BJ$1,FALSE)</f>
        <v>N/A</v>
      </c>
      <c r="X153" s="81"/>
      <c r="Y153" s="80"/>
      <c r="Z153" s="749"/>
      <c r="AA153" s="133"/>
      <c r="AB153" s="648" t="s">
        <v>14</v>
      </c>
      <c r="AC153" s="107">
        <f t="shared" si="20"/>
        <v>1</v>
      </c>
      <c r="AD153" s="3" t="e">
        <f>VLOOKUP(K153,'Assessment Details'!$O$45:$P$48,2,FALSE)</f>
        <v>#N/A</v>
      </c>
      <c r="AE153" s="3" t="e">
        <f>VLOOKUP(R153,'Assessment Details'!$O$45:$P$48,2,FALSE)</f>
        <v>#N/A</v>
      </c>
      <c r="AF153" s="3" t="e">
        <f>VLOOKUP(Y153,'Assessment Details'!$O$45:$P$48,2,FALSE)</f>
        <v>#N/A</v>
      </c>
      <c r="AI153" s="70"/>
      <c r="AJ153" s="679" t="s">
        <v>168</v>
      </c>
      <c r="AK153" s="656" t="s">
        <v>14</v>
      </c>
      <c r="AL153" s="656" t="s">
        <v>13</v>
      </c>
      <c r="AM153" s="70"/>
      <c r="AN153" s="70"/>
      <c r="AO153" s="70"/>
      <c r="AP153" s="70"/>
      <c r="AS153" s="23" t="str">
        <f t="shared" si="12"/>
        <v>N/A</v>
      </c>
      <c r="AT153" s="23" t="str">
        <f t="shared" si="13"/>
        <v>N/A</v>
      </c>
      <c r="AU153" s="23" t="str">
        <f t="shared" si="14"/>
        <v>N/A</v>
      </c>
      <c r="AV153" s="23"/>
      <c r="AW153" s="23"/>
      <c r="AX153" s="23"/>
      <c r="AZ153" s="648"/>
    </row>
    <row r="154" spans="1:52" x14ac:dyDescent="0.25">
      <c r="A154" s="1091">
        <v>145</v>
      </c>
      <c r="B154" s="1092" t="s">
        <v>71</v>
      </c>
      <c r="C154" s="1097" t="str">
        <f t="shared" si="18"/>
        <v>Wst 03a</v>
      </c>
      <c r="D154" s="837" t="s">
        <v>796</v>
      </c>
      <c r="E154" s="875" t="str">
        <f>VLOOKUP(D154,Poeng!$B$10:$Q$251,Poeng!D$1,FALSE)</f>
        <v>Operational waste</v>
      </c>
      <c r="F154" s="122">
        <f>VLOOKUP(D154,Poeng!$B$10:$AA$251,Poeng!AA$1,FALSE)</f>
        <v>1</v>
      </c>
      <c r="G154" s="43"/>
      <c r="H154" s="123">
        <f>VLOOKUP(D154,Poeng!$B$10:$AD$251,Poeng!AD$1,FALSE)</f>
        <v>0</v>
      </c>
      <c r="I154" s="124" t="str">
        <f>VLOOKUP(D154,Poeng!$B$10:$BD$251,Poeng!BD$1,FALSE)</f>
        <v>Very Good</v>
      </c>
      <c r="J154" s="80"/>
      <c r="K154" s="281"/>
      <c r="L154" s="809"/>
      <c r="M154" s="829"/>
      <c r="N154" s="83"/>
      <c r="O154" s="123">
        <f>VLOOKUP(D154,Poeng!$B$10:$BB$251,Poeng!AE$1,FALSE)</f>
        <v>0</v>
      </c>
      <c r="P154" s="123" t="str">
        <f>VLOOKUP(D154,Poeng!$B$10:$BG$251,Poeng!BG$1,FALSE)</f>
        <v>Very Good</v>
      </c>
      <c r="Q154" s="755"/>
      <c r="R154" s="756"/>
      <c r="S154" s="749"/>
      <c r="T154" s="319"/>
      <c r="U154" s="83"/>
      <c r="V154" s="123">
        <f>VLOOKUP(D154,Poeng!$B$10:$BB$251,Poeng!AF$1,FALSE)</f>
        <v>0</v>
      </c>
      <c r="W154" s="123" t="str">
        <f>VLOOKUP(D154,Poeng!$B$10:$BJ$251,Poeng!BJ$1,FALSE)</f>
        <v>Very Good</v>
      </c>
      <c r="X154" s="81"/>
      <c r="Y154" s="80"/>
      <c r="Z154" s="749"/>
      <c r="AA154" s="133"/>
      <c r="AB154" s="648"/>
      <c r="AC154" s="107">
        <f t="shared" si="20"/>
        <v>1</v>
      </c>
      <c r="AD154" s="3" t="e">
        <f>VLOOKUP(K154,'Assessment Details'!$O$45:$P$48,2,FALSE)</f>
        <v>#N/A</v>
      </c>
      <c r="AE154" s="3" t="e">
        <f>VLOOKUP(R154,'Assessment Details'!$O$45:$P$48,2,FALSE)</f>
        <v>#N/A</v>
      </c>
      <c r="AF154" s="3" t="e">
        <f>VLOOKUP(Y154,'Assessment Details'!$O$45:$P$48,2,FALSE)</f>
        <v>#N/A</v>
      </c>
      <c r="AI154" s="70"/>
      <c r="AJ154" s="679"/>
      <c r="AK154" s="656"/>
      <c r="AL154" s="656"/>
      <c r="AM154" s="70"/>
      <c r="AN154" s="70"/>
      <c r="AO154" s="70"/>
      <c r="AP154" s="70"/>
      <c r="AS154" s="23"/>
      <c r="AT154" s="23"/>
      <c r="AU154" s="23"/>
      <c r="AV154" s="23"/>
      <c r="AW154" s="23"/>
      <c r="AX154" s="23"/>
      <c r="AZ154" s="648"/>
    </row>
    <row r="155" spans="1:52" x14ac:dyDescent="0.25">
      <c r="A155" s="1091">
        <v>146</v>
      </c>
      <c r="B155" s="1092" t="s">
        <v>71</v>
      </c>
      <c r="C155" s="938" t="s">
        <v>377</v>
      </c>
      <c r="D155" s="837" t="s">
        <v>377</v>
      </c>
      <c r="E155" s="874" t="str">
        <f>VLOOKUP(D155,Poeng!$B$10:$Q$251,Poeng!D$1,FALSE)</f>
        <v>Wst 03b Operational waste</v>
      </c>
      <c r="F155" s="879">
        <f>VLOOKUP(D155,Poeng!$B$10:$AA$251,Poeng!AA$1,FALSE)</f>
        <v>0</v>
      </c>
      <c r="G155" s="1015"/>
      <c r="H155" s="880" t="str">
        <f>VLOOKUP(D155,Poeng!$B$10:$AH$251,Poeng!AH$1,FALSE)&amp;" c. "&amp;ROUND(VLOOKUP(D155,Poeng!$B$10:$AD$251,Poeng!AD$1,FALSE)*100,1)&amp;" %"</f>
        <v>0 c. 0 %</v>
      </c>
      <c r="I155" s="938" t="str">
        <f>VLOOKUP(D155,Poeng!$B$10:$BD$251,Poeng!BD$1,FALSE)</f>
        <v>N/A</v>
      </c>
      <c r="J155" s="80"/>
      <c r="K155" s="281"/>
      <c r="L155" s="809"/>
      <c r="M155" s="829"/>
      <c r="N155" s="1015"/>
      <c r="O155" s="891" t="str">
        <f>VLOOKUP(D155,Poeng!$B$10:$BB$251,Poeng!AI$1,FALSE)&amp;" c. "&amp;ROUND(VLOOKUP(D155,Poeng!$B$10:$BB$251,Poeng!AE$1,FALSE)*100,1)&amp;" %"</f>
        <v>0 c. 0 %</v>
      </c>
      <c r="P155" s="123" t="str">
        <f>VLOOKUP(D155,Poeng!$B$10:$BG$251,Poeng!BG$1,FALSE)</f>
        <v>N/A</v>
      </c>
      <c r="Q155" s="755"/>
      <c r="R155" s="756"/>
      <c r="S155" s="749"/>
      <c r="T155" s="319"/>
      <c r="U155" s="1015"/>
      <c r="V155" s="891" t="str">
        <f>VLOOKUP(D155,Poeng!$B$10:$BB$251,Poeng!AJ$1,FALSE)&amp;" c. "&amp;ROUND(VLOOKUP(D155,Poeng!$B$10:$BB$251,Poeng!AF$1,FALSE)*100,1)&amp;" %"</f>
        <v>0 c. 0 %</v>
      </c>
      <c r="W155" s="123" t="str">
        <f>VLOOKUP(D155,Poeng!$B$10:$BJ$251,Poeng!BJ$1,FALSE)</f>
        <v>N/A</v>
      </c>
      <c r="X155" s="81"/>
      <c r="Y155" s="80"/>
      <c r="Z155" s="749"/>
      <c r="AA155" s="133"/>
      <c r="AB155" s="648"/>
      <c r="AC155" s="107">
        <f t="shared" si="20"/>
        <v>2</v>
      </c>
      <c r="AD155" s="3" t="e">
        <f>VLOOKUP(K155,'Assessment Details'!$O$45:$P$48,2,FALSE)</f>
        <v>#N/A</v>
      </c>
      <c r="AE155" s="3" t="e">
        <f>VLOOKUP(R155,'Assessment Details'!$O$45:$P$48,2,FALSE)</f>
        <v>#N/A</v>
      </c>
      <c r="AF155" s="3" t="e">
        <f>VLOOKUP(Y155,'Assessment Details'!$O$45:$P$48,2,FALSE)</f>
        <v>#N/A</v>
      </c>
      <c r="AI155" s="70"/>
      <c r="AJ155" s="679"/>
      <c r="AK155" s="656"/>
      <c r="AL155" s="656"/>
      <c r="AM155" s="70"/>
      <c r="AN155" s="70"/>
      <c r="AO155" s="70"/>
      <c r="AP155" s="70"/>
      <c r="AS155" s="23"/>
      <c r="AT155" s="23"/>
      <c r="AU155" s="23"/>
      <c r="AV155" s="23"/>
      <c r="AW155" s="23"/>
      <c r="AX155" s="23"/>
      <c r="AZ155" s="648"/>
    </row>
    <row r="156" spans="1:52" x14ac:dyDescent="0.25">
      <c r="A156" s="1091">
        <v>147</v>
      </c>
      <c r="B156" s="1092" t="s">
        <v>71</v>
      </c>
      <c r="C156" s="1097" t="str">
        <f t="shared" si="18"/>
        <v>Wst 03b</v>
      </c>
      <c r="D156" s="837" t="s">
        <v>797</v>
      </c>
      <c r="E156" s="875" t="str">
        <f>VLOOKUP(D156,Poeng!$B$10:$Q$251,Poeng!D$1,FALSE)</f>
        <v>Sorting of waste</v>
      </c>
      <c r="F156" s="122">
        <f>VLOOKUP(D156,Poeng!$B$10:$AA$251,Poeng!AA$1,FALSE)</f>
        <v>0</v>
      </c>
      <c r="G156" s="43"/>
      <c r="H156" s="123">
        <f>VLOOKUP(D156,Poeng!$B$10:$AD$251,Poeng!AD$1,FALSE)</f>
        <v>0</v>
      </c>
      <c r="I156" s="124" t="str">
        <f>VLOOKUP(D156,Poeng!$B$10:$BD$251,Poeng!BD$1,FALSE)</f>
        <v>N/A</v>
      </c>
      <c r="J156" s="80"/>
      <c r="K156" s="281"/>
      <c r="L156" s="809"/>
      <c r="M156" s="829"/>
      <c r="N156" s="83"/>
      <c r="O156" s="123">
        <f>VLOOKUP(D156,Poeng!$B$10:$BB$251,Poeng!AE$1,FALSE)</f>
        <v>0</v>
      </c>
      <c r="P156" s="123" t="str">
        <f>VLOOKUP(D156,Poeng!$B$10:$BG$251,Poeng!BG$1,FALSE)</f>
        <v>N/A</v>
      </c>
      <c r="Q156" s="755"/>
      <c r="R156" s="756"/>
      <c r="S156" s="1110"/>
      <c r="T156" s="319"/>
      <c r="U156" s="83"/>
      <c r="V156" s="123">
        <f>VLOOKUP(D156,Poeng!$B$10:$BB$251,Poeng!AF$1,FALSE)</f>
        <v>0</v>
      </c>
      <c r="W156" s="123" t="str">
        <f>VLOOKUP(D156,Poeng!$B$10:$BJ$251,Poeng!BJ$1,FALSE)</f>
        <v>N/A</v>
      </c>
      <c r="X156" s="81"/>
      <c r="Y156" s="80"/>
      <c r="Z156" s="1110"/>
      <c r="AA156" s="133"/>
      <c r="AB156" s="648"/>
      <c r="AC156" s="107">
        <f t="shared" si="20"/>
        <v>2</v>
      </c>
      <c r="AD156" s="3" t="e">
        <f>VLOOKUP(K156,'Assessment Details'!$O$45:$P$48,2,FALSE)</f>
        <v>#N/A</v>
      </c>
      <c r="AE156" s="3" t="e">
        <f>VLOOKUP(R156,'Assessment Details'!$O$45:$P$48,2,FALSE)</f>
        <v>#N/A</v>
      </c>
      <c r="AF156" s="3" t="e">
        <f>VLOOKUP(Y156,'Assessment Details'!$O$45:$P$48,2,FALSE)</f>
        <v>#N/A</v>
      </c>
      <c r="AI156" s="70"/>
      <c r="AJ156" s="679"/>
      <c r="AK156" s="656"/>
      <c r="AL156" s="656"/>
      <c r="AM156" s="70"/>
      <c r="AN156" s="70"/>
      <c r="AO156" s="70"/>
      <c r="AP156" s="70"/>
      <c r="AS156" s="23"/>
      <c r="AT156" s="23"/>
      <c r="AU156" s="23"/>
      <c r="AV156" s="23"/>
      <c r="AW156" s="23"/>
      <c r="AX156" s="23"/>
      <c r="AZ156" s="648"/>
    </row>
    <row r="157" spans="1:52" x14ac:dyDescent="0.25">
      <c r="A157" s="1091">
        <v>148</v>
      </c>
      <c r="B157" s="1092" t="s">
        <v>71</v>
      </c>
      <c r="C157" s="938" t="s">
        <v>181</v>
      </c>
      <c r="D157" s="837" t="s">
        <v>181</v>
      </c>
      <c r="E157" s="874" t="str">
        <f>VLOOKUP(D157,Poeng!$B$10:$Q$251,Poeng!D$1,FALSE)</f>
        <v>Wst 04 Speculative finishes</v>
      </c>
      <c r="F157" s="879">
        <f>VLOOKUP(D157,Poeng!$B$10:$AA$251,Poeng!AA$1,FALSE)</f>
        <v>1</v>
      </c>
      <c r="G157" s="1015"/>
      <c r="H157" s="880" t="str">
        <f>VLOOKUP(D157,Poeng!$B$10:$AH$251,Poeng!AH$1,FALSE)&amp;" c. "&amp;ROUND(VLOOKUP(D157,Poeng!$B$10:$AD$251,Poeng!AD$1,FALSE)*100,1)&amp;" %"</f>
        <v>0 c. 0 %</v>
      </c>
      <c r="I157" s="938" t="str">
        <f>VLOOKUP(D157,Poeng!$B$10:$BD$251,Poeng!BD$1,FALSE)</f>
        <v>N/A</v>
      </c>
      <c r="J157" s="80"/>
      <c r="K157" s="281"/>
      <c r="L157" s="809"/>
      <c r="M157" s="829"/>
      <c r="N157" s="1015"/>
      <c r="O157" s="891" t="str">
        <f>VLOOKUP(D157,Poeng!$B$10:$BB$251,Poeng!AI$1,FALSE)&amp;" c. "&amp;ROUND(VLOOKUP(D157,Poeng!$B$10:$BB$251,Poeng!AE$1,FALSE)*100,1)&amp;" %"</f>
        <v>0 c. 0 %</v>
      </c>
      <c r="P157" s="123" t="str">
        <f>VLOOKUP(D157,Poeng!$B$10:$BG$251,Poeng!BG$1,FALSE)</f>
        <v>N/A</v>
      </c>
      <c r="Q157" s="755"/>
      <c r="R157" s="756"/>
      <c r="S157" s="749"/>
      <c r="T157" s="319"/>
      <c r="U157" s="1015"/>
      <c r="V157" s="891" t="str">
        <f>VLOOKUP(D157,Poeng!$B$10:$BB$251,Poeng!AJ$1,FALSE)&amp;" c. "&amp;ROUND(VLOOKUP(D157,Poeng!$B$10:$BB$251,Poeng!AF$1,FALSE)*100,1)&amp;" %"</f>
        <v>0 c. 0 %</v>
      </c>
      <c r="W157" s="123" t="str">
        <f>VLOOKUP(D157,Poeng!$B$10:$BJ$251,Poeng!BJ$1,FALSE)</f>
        <v>N/A</v>
      </c>
      <c r="X157" s="81"/>
      <c r="Y157" s="80"/>
      <c r="Z157" s="749"/>
      <c r="AA157" s="133"/>
      <c r="AB157" s="648" t="s">
        <v>14</v>
      </c>
      <c r="AC157" s="107">
        <f t="shared" si="20"/>
        <v>1</v>
      </c>
      <c r="AD157" s="3" t="e">
        <f>VLOOKUP(K157,'Assessment Details'!$O$45:$P$48,2,FALSE)</f>
        <v>#N/A</v>
      </c>
      <c r="AE157" s="3" t="e">
        <f>VLOOKUP(R157,'Assessment Details'!$O$45:$P$48,2,FALSE)</f>
        <v>#N/A</v>
      </c>
      <c r="AF157" s="3" t="e">
        <f>VLOOKUP(Y157,'Assessment Details'!$O$45:$P$48,2,FALSE)</f>
        <v>#N/A</v>
      </c>
      <c r="AI157" s="70"/>
      <c r="AJ157" s="679" t="s">
        <v>217</v>
      </c>
      <c r="AK157" s="656" t="s">
        <v>14</v>
      </c>
      <c r="AL157" s="656" t="s">
        <v>13</v>
      </c>
      <c r="AM157" s="70"/>
      <c r="AN157" s="70"/>
      <c r="AO157" s="70"/>
      <c r="AP157" s="70"/>
      <c r="AS157" s="23" t="str">
        <f t="shared" si="12"/>
        <v>N/A</v>
      </c>
      <c r="AT157" s="23" t="str">
        <f t="shared" si="13"/>
        <v>N/A</v>
      </c>
      <c r="AU157" s="23" t="str">
        <f t="shared" si="14"/>
        <v>N/A</v>
      </c>
      <c r="AV157" s="23"/>
      <c r="AW157" s="23"/>
      <c r="AX157" s="23"/>
      <c r="AZ157" s="648"/>
    </row>
    <row r="158" spans="1:52" x14ac:dyDescent="0.25">
      <c r="A158" s="1091">
        <v>149</v>
      </c>
      <c r="B158" s="1092" t="s">
        <v>71</v>
      </c>
      <c r="C158" s="1097" t="str">
        <f t="shared" si="18"/>
        <v>Wst 04</v>
      </c>
      <c r="D158" s="837" t="s">
        <v>798</v>
      </c>
      <c r="E158" s="875" t="str">
        <f>VLOOKUP(D158,Poeng!$B$10:$Q$251,Poeng!D$1,FALSE)</f>
        <v xml:space="preserve">User involvement surface finishes </v>
      </c>
      <c r="F158" s="122">
        <f>VLOOKUP(D158,Poeng!$B$10:$AA$251,Poeng!AA$1,FALSE)</f>
        <v>1</v>
      </c>
      <c r="G158" s="43"/>
      <c r="H158" s="123">
        <f>VLOOKUP(D158,Poeng!$B$10:$AD$251,Poeng!AD$1,FALSE)</f>
        <v>0</v>
      </c>
      <c r="I158" s="124" t="str">
        <f>VLOOKUP(D158,Poeng!$B$10:$BD$251,Poeng!BD$1,FALSE)</f>
        <v>N/A</v>
      </c>
      <c r="J158" s="80"/>
      <c r="K158" s="281"/>
      <c r="L158" s="809"/>
      <c r="M158" s="829"/>
      <c r="N158" s="83"/>
      <c r="O158" s="123">
        <f>VLOOKUP(D158,Poeng!$B$10:$BB$251,Poeng!AE$1,FALSE)</f>
        <v>0</v>
      </c>
      <c r="P158" s="123" t="str">
        <f>VLOOKUP(D158,Poeng!$B$10:$BG$251,Poeng!BG$1,FALSE)</f>
        <v>N/A</v>
      </c>
      <c r="Q158" s="755"/>
      <c r="R158" s="756"/>
      <c r="S158" s="749"/>
      <c r="T158" s="319"/>
      <c r="U158" s="83"/>
      <c r="V158" s="123">
        <f>VLOOKUP(D158,Poeng!$B$10:$BB$251,Poeng!AF$1,FALSE)</f>
        <v>0</v>
      </c>
      <c r="W158" s="123" t="str">
        <f>VLOOKUP(D158,Poeng!$B$10:$BJ$251,Poeng!BJ$1,FALSE)</f>
        <v>N/A</v>
      </c>
      <c r="X158" s="81"/>
      <c r="Y158" s="80"/>
      <c r="Z158" s="749"/>
      <c r="AA158" s="133"/>
      <c r="AB158" s="725"/>
      <c r="AC158" s="107">
        <f t="shared" si="20"/>
        <v>1</v>
      </c>
      <c r="AD158" s="3" t="e">
        <f>VLOOKUP(K158,'Assessment Details'!$O$45:$P$48,2,FALSE)</f>
        <v>#N/A</v>
      </c>
      <c r="AE158" s="3" t="e">
        <f>VLOOKUP(R158,'Assessment Details'!$O$45:$P$48,2,FALSE)</f>
        <v>#N/A</v>
      </c>
      <c r="AF158" s="3" t="e">
        <f>VLOOKUP(Y158,'Assessment Details'!$O$45:$P$48,2,FALSE)</f>
        <v>#N/A</v>
      </c>
      <c r="AI158" s="70"/>
      <c r="AJ158" s="679"/>
      <c r="AK158" s="656"/>
      <c r="AL158" s="656"/>
      <c r="AM158" s="70"/>
      <c r="AN158" s="70"/>
      <c r="AO158" s="70"/>
      <c r="AP158" s="70"/>
      <c r="AS158" s="23"/>
      <c r="AT158" s="23"/>
      <c r="AU158" s="23"/>
      <c r="AV158" s="23"/>
      <c r="AW158" s="23"/>
      <c r="AX158" s="23"/>
      <c r="AZ158" s="725"/>
    </row>
    <row r="159" spans="1:52" ht="15.75" thickBot="1" x14ac:dyDescent="0.3">
      <c r="A159" s="1091">
        <v>150</v>
      </c>
      <c r="B159" s="1092" t="s">
        <v>71</v>
      </c>
      <c r="C159" s="1104"/>
      <c r="D159" s="837" t="s">
        <v>892</v>
      </c>
      <c r="E159" s="341" t="s">
        <v>111</v>
      </c>
      <c r="F159" s="125">
        <f>Wst_Credits</f>
        <v>7</v>
      </c>
      <c r="G159" s="131"/>
      <c r="H159" s="126">
        <f>Wst_cont_tot</f>
        <v>0</v>
      </c>
      <c r="I159" s="881" t="str">
        <f>"Credits achieved: "&amp;Wst_tot_user</f>
        <v>Credits achieved: 0</v>
      </c>
      <c r="J159" s="134"/>
      <c r="K159" s="282"/>
      <c r="L159" s="757"/>
      <c r="M159" s="829"/>
      <c r="N159" s="383"/>
      <c r="O159" s="126">
        <f>VLOOKUP(D159,Poeng!$B$10:$BB$251,Poeng!AE$1,FALSE)</f>
        <v>0</v>
      </c>
      <c r="P159" s="881" t="str">
        <f>"Credits achieved: "&amp;Wst_d_user</f>
        <v>Credits achieved: 0</v>
      </c>
      <c r="Q159" s="758"/>
      <c r="R159" s="759"/>
      <c r="S159" s="757"/>
      <c r="T159" s="319"/>
      <c r="U159" s="383"/>
      <c r="V159" s="126">
        <f>VLOOKUP(D159,Poeng!$B$10:$BB$251,Poeng!AF$1,FALSE)</f>
        <v>0</v>
      </c>
      <c r="W159" s="881" t="str">
        <f>"Credits achieved: "&amp;Wst_c_user</f>
        <v>Credits achieved: 0</v>
      </c>
      <c r="X159" s="382"/>
      <c r="Y159" s="136"/>
      <c r="Z159" s="757"/>
      <c r="AA159" s="133"/>
      <c r="AB159" s="649"/>
      <c r="AC159" s="107">
        <f t="shared" si="20"/>
        <v>1</v>
      </c>
      <c r="AD159" s="276">
        <v>0</v>
      </c>
      <c r="AE159" s="276">
        <v>0</v>
      </c>
      <c r="AF159" s="276">
        <v>0</v>
      </c>
      <c r="AI159" s="70"/>
      <c r="AJ159" s="679" t="s">
        <v>111</v>
      </c>
      <c r="AK159" s="70"/>
      <c r="AL159" s="70"/>
      <c r="AM159" s="70"/>
      <c r="AN159" s="70"/>
      <c r="AO159" s="70"/>
      <c r="AP159" s="70"/>
      <c r="AS159" s="23" t="str">
        <f t="shared" si="12"/>
        <v>N/A</v>
      </c>
      <c r="AT159" s="23" t="str">
        <f t="shared" si="13"/>
        <v>N/A</v>
      </c>
      <c r="AU159" s="23" t="str">
        <f t="shared" si="14"/>
        <v>N/A</v>
      </c>
      <c r="AV159" s="23"/>
      <c r="AW159" s="23"/>
      <c r="AX159" s="23"/>
      <c r="AZ159" s="649"/>
    </row>
    <row r="160" spans="1:52" x14ac:dyDescent="0.25">
      <c r="A160" s="1091">
        <v>151</v>
      </c>
      <c r="B160" s="1092" t="s">
        <v>71</v>
      </c>
      <c r="C160" s="1100"/>
      <c r="D160" s="837"/>
      <c r="E160" s="334"/>
      <c r="F160" s="322"/>
      <c r="G160" s="323"/>
      <c r="H160" s="322"/>
      <c r="I160" s="322"/>
      <c r="J160" s="324"/>
      <c r="K160" s="323"/>
      <c r="L160" s="760"/>
      <c r="M160" s="828"/>
      <c r="N160" s="325"/>
      <c r="O160" s="325"/>
      <c r="P160" s="760"/>
      <c r="Q160" s="760"/>
      <c r="R160" s="761"/>
      <c r="S160" s="1109"/>
      <c r="T160" s="326"/>
      <c r="U160" s="325"/>
      <c r="V160" s="325"/>
      <c r="W160" s="760"/>
      <c r="X160" s="324"/>
      <c r="Y160" s="325"/>
      <c r="Z160" s="1109"/>
      <c r="AA160" s="710"/>
      <c r="AB160" s="324"/>
      <c r="AC160" s="107">
        <f t="shared" si="20"/>
        <v>1</v>
      </c>
      <c r="AD160" s="278">
        <v>0</v>
      </c>
      <c r="AE160" s="278">
        <v>0</v>
      </c>
      <c r="AF160" s="278">
        <v>0</v>
      </c>
      <c r="AI160" s="70"/>
      <c r="AJ160" s="679"/>
      <c r="AK160" s="70"/>
      <c r="AL160" s="70"/>
      <c r="AM160" s="70"/>
      <c r="AN160" s="70"/>
      <c r="AO160" s="70"/>
      <c r="AP160" s="70"/>
      <c r="AS160" s="23" t="str">
        <f t="shared" si="12"/>
        <v>N/A</v>
      </c>
      <c r="AT160" s="23" t="str">
        <f t="shared" si="13"/>
        <v>N/A</v>
      </c>
      <c r="AU160" s="23" t="str">
        <f t="shared" si="14"/>
        <v>N/A</v>
      </c>
      <c r="AV160" s="23"/>
      <c r="AW160" s="23"/>
      <c r="AX160" s="23"/>
      <c r="AZ160" s="324"/>
    </row>
    <row r="161" spans="1:52" ht="18.75" x14ac:dyDescent="0.25">
      <c r="A161" s="1091">
        <v>152</v>
      </c>
      <c r="B161" s="1092" t="s">
        <v>72</v>
      </c>
      <c r="C161" s="1101"/>
      <c r="D161" s="837"/>
      <c r="E161" s="335" t="s">
        <v>59</v>
      </c>
      <c r="F161" s="315"/>
      <c r="G161" s="316"/>
      <c r="H161" s="336"/>
      <c r="I161" s="315"/>
      <c r="J161" s="328"/>
      <c r="K161" s="329"/>
      <c r="L161" s="763"/>
      <c r="M161" s="829"/>
      <c r="N161" s="339"/>
      <c r="O161" s="332"/>
      <c r="P161" s="753"/>
      <c r="Q161" s="764"/>
      <c r="R161" s="765"/>
      <c r="S161" s="766"/>
      <c r="T161" s="319"/>
      <c r="U161" s="339"/>
      <c r="V161" s="338"/>
      <c r="W161" s="753"/>
      <c r="X161" s="328"/>
      <c r="Y161" s="338"/>
      <c r="Z161" s="763"/>
      <c r="AA161" s="133"/>
      <c r="AB161" s="337"/>
      <c r="AC161" s="107">
        <f t="shared" si="20"/>
        <v>1</v>
      </c>
      <c r="AD161" s="275">
        <v>0</v>
      </c>
      <c r="AE161" s="275">
        <v>0</v>
      </c>
      <c r="AF161" s="275">
        <v>0</v>
      </c>
      <c r="AI161" s="70"/>
      <c r="AJ161" s="679" t="s">
        <v>59</v>
      </c>
      <c r="AK161" s="70"/>
      <c r="AL161" s="70"/>
      <c r="AM161" s="70"/>
      <c r="AN161" s="70"/>
      <c r="AO161" s="70"/>
      <c r="AP161" s="70"/>
      <c r="AS161" s="23" t="str">
        <f t="shared" ref="AS161:AS224" si="23">IF($AJ$4=ais_no,AIS_NA,IF(AK161="",AIS_NA,AK161))</f>
        <v>N/A</v>
      </c>
      <c r="AT161" s="23" t="str">
        <f t="shared" ref="AT161:AT224" si="24">IF($AJ$4=ais_no,AIS_NA,IF(AL161="",AIS_NA,AL161))</f>
        <v>N/A</v>
      </c>
      <c r="AU161" s="23" t="str">
        <f t="shared" ref="AU161:AV224" si="25">IF($AJ$4=ais_no,AIS_NA,IF(AM161="",AIS_NA,AM161))</f>
        <v>N/A</v>
      </c>
      <c r="AV161" s="23"/>
      <c r="AW161" s="23"/>
      <c r="AX161" s="23"/>
      <c r="AZ161" s="337"/>
    </row>
    <row r="162" spans="1:52" x14ac:dyDescent="0.25">
      <c r="A162" s="1091">
        <v>153</v>
      </c>
      <c r="B162" s="1092" t="s">
        <v>72</v>
      </c>
      <c r="C162" s="938" t="s">
        <v>182</v>
      </c>
      <c r="D162" s="837" t="s">
        <v>182</v>
      </c>
      <c r="E162" s="874" t="str">
        <f>VLOOKUP(D162,Poeng!$B$10:$Q$251,Poeng!D$1,FALSE)</f>
        <v>LE 01 Site selection</v>
      </c>
      <c r="F162" s="879">
        <f>VLOOKUP(D162,Poeng!$B$10:$AA$251,Poeng!AA$1,FALSE)</f>
        <v>2</v>
      </c>
      <c r="G162" s="1014"/>
      <c r="H162" s="880" t="str">
        <f>VLOOKUP(D162,Poeng!$B$10:$AH$251,Poeng!AH$1,FALSE)&amp;" c. "&amp;ROUND(VLOOKUP(D162,Poeng!$B$10:$AD$251,Poeng!AD$1,FALSE)*100,1)&amp;" %"</f>
        <v>0 c. 0 %</v>
      </c>
      <c r="I162" s="937" t="str">
        <f>VLOOKUP(D162,Poeng!$B$10:$BD$251,Poeng!BD$1,FALSE)</f>
        <v>N/A</v>
      </c>
      <c r="J162" s="888"/>
      <c r="K162" s="889"/>
      <c r="L162" s="890"/>
      <c r="M162" s="828"/>
      <c r="N162" s="1015"/>
      <c r="O162" s="1108" t="str">
        <f>VLOOKUP(D162,Poeng!$B$10:$BB$251,Poeng!AI$1,FALSE)&amp;" c. "&amp;ROUND(VLOOKUP(D162,Poeng!$B$10:$BB$251,Poeng!AE$1,FALSE)*100,1)&amp;" %"</f>
        <v>0 c. 0 %</v>
      </c>
      <c r="P162" s="123" t="str">
        <f>VLOOKUP(D162,Poeng!$B$10:$BG$251,Poeng!BG$1,FALSE)</f>
        <v>N/A</v>
      </c>
      <c r="Q162" s="755"/>
      <c r="R162" s="756"/>
      <c r="S162" s="749"/>
      <c r="T162" s="319"/>
      <c r="U162" s="1015"/>
      <c r="V162" s="891" t="str">
        <f>VLOOKUP(D162,Poeng!$B$10:$BB$251,Poeng!AJ$1,FALSE)&amp;" c. "&amp;ROUND(VLOOKUP(D162,Poeng!$B$10:$BB$251,Poeng!AF$1,FALSE)*100,1)&amp;" %"</f>
        <v>0 c. 0 %</v>
      </c>
      <c r="W162" s="123" t="str">
        <f>VLOOKUP(D162,Poeng!$B$10:$BJ$251,Poeng!BJ$1,FALSE)</f>
        <v>N/A</v>
      </c>
      <c r="X162" s="81"/>
      <c r="Y162" s="80"/>
      <c r="Z162" s="749"/>
      <c r="AA162" s="133"/>
      <c r="AB162" s="648" t="s">
        <v>15</v>
      </c>
      <c r="AC162" s="107">
        <f t="shared" si="20"/>
        <v>1</v>
      </c>
      <c r="AD162" s="3" t="e">
        <f>VLOOKUP(K162,'Assessment Details'!$O$45:$P$48,2,FALSE)</f>
        <v>#N/A</v>
      </c>
      <c r="AE162" s="3" t="e">
        <f>VLOOKUP(R162,'Assessment Details'!$O$45:$P$48,2,FALSE)</f>
        <v>#N/A</v>
      </c>
      <c r="AF162" s="3" t="e">
        <f>VLOOKUP(Y162,'Assessment Details'!$O$45:$P$48,2,FALSE)</f>
        <v>#N/A</v>
      </c>
      <c r="AI162" s="70"/>
      <c r="AJ162" s="679" t="s">
        <v>162</v>
      </c>
      <c r="AK162" s="70"/>
      <c r="AL162" s="70"/>
      <c r="AM162" s="70"/>
      <c r="AN162" s="70"/>
      <c r="AO162" s="70"/>
      <c r="AP162" s="70"/>
      <c r="AS162" s="23" t="str">
        <f t="shared" si="23"/>
        <v>N/A</v>
      </c>
      <c r="AT162" s="23" t="str">
        <f t="shared" si="24"/>
        <v>N/A</v>
      </c>
      <c r="AU162" s="23" t="str">
        <f t="shared" si="25"/>
        <v>N/A</v>
      </c>
      <c r="AV162" s="23"/>
      <c r="AW162" s="23"/>
      <c r="AX162" s="23"/>
      <c r="AZ162" s="648"/>
    </row>
    <row r="163" spans="1:52" x14ac:dyDescent="0.25">
      <c r="A163" s="1091">
        <v>154</v>
      </c>
      <c r="B163" s="1092" t="s">
        <v>72</v>
      </c>
      <c r="C163" s="1097" t="str">
        <f t="shared" si="18"/>
        <v>LE 01</v>
      </c>
      <c r="D163" s="837" t="s">
        <v>801</v>
      </c>
      <c r="E163" s="875" t="str">
        <f>VLOOKUP(D163,Poeng!$B$10:$Q$251,Poeng!D$1,FALSE)</f>
        <v>Previously occupied land</v>
      </c>
      <c r="F163" s="122">
        <f>VLOOKUP(D163,Poeng!$B$10:$AA$251,Poeng!AA$1,FALSE)</f>
        <v>2</v>
      </c>
      <c r="G163" s="43"/>
      <c r="H163" s="123">
        <f>VLOOKUP(D163,Poeng!$B$10:$AD$251,Poeng!AD$1,FALSE)</f>
        <v>0</v>
      </c>
      <c r="I163" s="124" t="str">
        <f>VLOOKUP(D163,Poeng!$B$10:$BD$251,Poeng!BD$1,FALSE)</f>
        <v>N/A</v>
      </c>
      <c r="J163" s="80"/>
      <c r="K163" s="281"/>
      <c r="L163" s="809"/>
      <c r="M163" s="829"/>
      <c r="N163" s="83"/>
      <c r="O163" s="123">
        <f>VLOOKUP(D163,Poeng!$B$10:$BB$251,Poeng!AE$1,FALSE)</f>
        <v>0</v>
      </c>
      <c r="P163" s="123" t="str">
        <f>VLOOKUP(D163,Poeng!$B$10:$BG$251,Poeng!BG$1,FALSE)</f>
        <v>N/A</v>
      </c>
      <c r="Q163" s="755"/>
      <c r="R163" s="756"/>
      <c r="S163" s="749"/>
      <c r="T163" s="319"/>
      <c r="U163" s="83"/>
      <c r="V163" s="123">
        <f>VLOOKUP(D163,Poeng!$B$10:$BB$251,Poeng!AF$1,FALSE)</f>
        <v>0</v>
      </c>
      <c r="W163" s="123" t="str">
        <f>VLOOKUP(D163,Poeng!$B$10:$BJ$251,Poeng!BJ$1,FALSE)</f>
        <v>N/A</v>
      </c>
      <c r="X163" s="81"/>
      <c r="Y163" s="80"/>
      <c r="Z163" s="749"/>
      <c r="AA163" s="133"/>
      <c r="AB163" s="648"/>
      <c r="AC163" s="107">
        <f t="shared" si="20"/>
        <v>1</v>
      </c>
      <c r="AD163" s="3" t="e">
        <f>VLOOKUP(K163,'Assessment Details'!$O$45:$P$48,2,FALSE)</f>
        <v>#N/A</v>
      </c>
      <c r="AE163" s="3" t="e">
        <f>VLOOKUP(R163,'Assessment Details'!$O$45:$P$48,2,FALSE)</f>
        <v>#N/A</v>
      </c>
      <c r="AF163" s="3" t="e">
        <f>VLOOKUP(Y163,'Assessment Details'!$O$45:$P$48,2,FALSE)</f>
        <v>#N/A</v>
      </c>
      <c r="AI163" s="70"/>
      <c r="AJ163" s="679"/>
      <c r="AK163" s="70"/>
      <c r="AL163" s="70"/>
      <c r="AM163" s="70"/>
      <c r="AN163" s="70"/>
      <c r="AO163" s="70"/>
      <c r="AP163" s="70"/>
      <c r="AS163" s="23"/>
      <c r="AT163" s="23"/>
      <c r="AU163" s="23"/>
      <c r="AV163" s="23"/>
      <c r="AW163" s="23"/>
      <c r="AX163" s="23"/>
      <c r="AZ163" s="648"/>
    </row>
    <row r="164" spans="1:52" x14ac:dyDescent="0.25">
      <c r="A164" s="1091">
        <v>155</v>
      </c>
      <c r="B164" s="1092" t="s">
        <v>72</v>
      </c>
      <c r="C164" s="1097" t="str">
        <f t="shared" si="18"/>
        <v>LE 01</v>
      </c>
      <c r="D164" s="837" t="s">
        <v>993</v>
      </c>
      <c r="E164" s="875" t="str">
        <f>VLOOKUP(D164,Poeng!$B$10:$Q$251,Poeng!D$1,FALSE)</f>
        <v>Minimum req: agricultural area / forest - criterion 2</v>
      </c>
      <c r="F164" s="122" t="str">
        <f>VLOOKUP(D164,Poeng!$B$10:$AA$251,Poeng!AA$1,FALSE)</f>
        <v>Yes/No</v>
      </c>
      <c r="G164" s="43"/>
      <c r="H164" s="123" t="str">
        <f>VLOOKUP(D164,Poeng!$B$10:$AD$251,Poeng!AD$1,FALSE)</f>
        <v>-</v>
      </c>
      <c r="I164" s="124" t="str">
        <f>VLOOKUP(D164,Poeng!$B$10:$BD$251,Poeng!BD$1,FALSE)</f>
        <v>Very Good</v>
      </c>
      <c r="J164" s="80"/>
      <c r="K164" s="281"/>
      <c r="L164" s="809"/>
      <c r="M164" s="829"/>
      <c r="N164" s="83"/>
      <c r="O164" s="123" t="str">
        <f>VLOOKUP(D164,Poeng!$B$10:$BB$251,Poeng!AE$1,FALSE)</f>
        <v>-</v>
      </c>
      <c r="P164" s="123" t="str">
        <f>VLOOKUP(D164,Poeng!$B$10:$BG$251,Poeng!BG$1,FALSE)</f>
        <v>Very Good</v>
      </c>
      <c r="Q164" s="755"/>
      <c r="R164" s="756"/>
      <c r="S164" s="749"/>
      <c r="T164" s="319"/>
      <c r="U164" s="83"/>
      <c r="V164" s="123" t="str">
        <f>VLOOKUP(D164,Poeng!$B$10:$BB$251,Poeng!AF$1,FALSE)</f>
        <v>-</v>
      </c>
      <c r="W164" s="123" t="str">
        <f>VLOOKUP(D164,Poeng!$B$10:$BJ$251,Poeng!BJ$1,FALSE)</f>
        <v>Very Good</v>
      </c>
      <c r="X164" s="81"/>
      <c r="Y164" s="80"/>
      <c r="Z164" s="749"/>
      <c r="AA164" s="133"/>
      <c r="AB164" s="648"/>
      <c r="AC164" s="107">
        <f t="shared" ref="AC164" si="26">IF(F164="",1,IF(F164=0,2,1))</f>
        <v>1</v>
      </c>
      <c r="AD164" s="3" t="e">
        <f>VLOOKUP(K164,'Assessment Details'!$O$45:$P$48,2,FALSE)</f>
        <v>#N/A</v>
      </c>
      <c r="AE164" s="3" t="e">
        <f>VLOOKUP(R164,'Assessment Details'!$O$45:$P$48,2,FALSE)</f>
        <v>#N/A</v>
      </c>
      <c r="AF164" s="3" t="e">
        <f>VLOOKUP(Y164,'Assessment Details'!$O$45:$P$48,2,FALSE)</f>
        <v>#N/A</v>
      </c>
      <c r="AI164" s="70"/>
      <c r="AJ164" s="679"/>
      <c r="AK164" s="70"/>
      <c r="AL164" s="70"/>
      <c r="AM164" s="70"/>
      <c r="AN164" s="70"/>
      <c r="AO164" s="70"/>
      <c r="AP164" s="70"/>
      <c r="AS164" s="23"/>
      <c r="AT164" s="23"/>
      <c r="AU164" s="23"/>
      <c r="AV164" s="23"/>
      <c r="AW164" s="23"/>
      <c r="AX164" s="23"/>
      <c r="AZ164" s="648"/>
    </row>
    <row r="165" spans="1:52" x14ac:dyDescent="0.25">
      <c r="A165" s="1091">
        <v>156</v>
      </c>
      <c r="B165" s="1092" t="s">
        <v>72</v>
      </c>
      <c r="C165" s="938" t="s">
        <v>183</v>
      </c>
      <c r="D165" s="837" t="s">
        <v>183</v>
      </c>
      <c r="E165" s="874" t="str">
        <f>VLOOKUP(D165,Poeng!$B$10:$Q$251,Poeng!D$1,FALSE)</f>
        <v>LE 02 Ecological risks and opportunities</v>
      </c>
      <c r="F165" s="879">
        <f>VLOOKUP(D165,Poeng!$B$10:$AA$251,Poeng!AA$1,FALSE)</f>
        <v>2</v>
      </c>
      <c r="G165" s="1015"/>
      <c r="H165" s="880" t="str">
        <f>VLOOKUP(D165,Poeng!$B$10:$AH$251,Poeng!AH$1,FALSE)&amp;" c. "&amp;ROUND(VLOOKUP(D165,Poeng!$B$10:$AD$251,Poeng!AD$1,FALSE)*100,1)&amp;" %"</f>
        <v>0 c. 0 %</v>
      </c>
      <c r="I165" s="938" t="str">
        <f>VLOOKUP(D165,Poeng!$B$10:$BD$251,Poeng!BD$1,FALSE)</f>
        <v>N/A</v>
      </c>
      <c r="J165" s="80"/>
      <c r="K165" s="281"/>
      <c r="L165" s="809"/>
      <c r="M165" s="829"/>
      <c r="N165" s="1015"/>
      <c r="O165" s="891" t="str">
        <f>VLOOKUP(D165,Poeng!$B$10:$BB$251,Poeng!AI$1,FALSE)&amp;" c. "&amp;ROUND(VLOOKUP(D165,Poeng!$B$10:$BB$251,Poeng!AE$1,FALSE)*100,1)&amp;" %"</f>
        <v>0 c. 0 %</v>
      </c>
      <c r="P165" s="123" t="str">
        <f>VLOOKUP(D165,Poeng!$B$10:$BG$251,Poeng!BG$1,FALSE)</f>
        <v>N/A</v>
      </c>
      <c r="Q165" s="755"/>
      <c r="R165" s="756"/>
      <c r="S165" s="749"/>
      <c r="T165" s="319"/>
      <c r="U165" s="1015"/>
      <c r="V165" s="891" t="str">
        <f>VLOOKUP(D165,Poeng!$B$10:$BB$251,Poeng!AJ$1,FALSE)&amp;" c. "&amp;ROUND(VLOOKUP(D165,Poeng!$B$10:$BB$251,Poeng!AF$1,FALSE)*100,1)&amp;" %"</f>
        <v>0 c. 0 %</v>
      </c>
      <c r="W165" s="123" t="str">
        <f>VLOOKUP(D165,Poeng!$B$10:$BJ$251,Poeng!BJ$1,FALSE)</f>
        <v>N/A</v>
      </c>
      <c r="X165" s="81"/>
      <c r="Y165" s="80"/>
      <c r="Z165" s="749"/>
      <c r="AA165" s="133"/>
      <c r="AB165" s="648" t="s">
        <v>15</v>
      </c>
      <c r="AC165" s="107">
        <f t="shared" si="20"/>
        <v>1</v>
      </c>
      <c r="AD165" s="3" t="e">
        <f>VLOOKUP(K165,'Assessment Details'!$O$45:$P$48,2,FALSE)</f>
        <v>#N/A</v>
      </c>
      <c r="AE165" s="3" t="e">
        <f>VLOOKUP(R165,'Assessment Details'!$O$45:$P$48,2,FALSE)</f>
        <v>#N/A</v>
      </c>
      <c r="AF165" s="3" t="e">
        <f>VLOOKUP(Y165,'Assessment Details'!$O$45:$P$48,2,FALSE)</f>
        <v>#N/A</v>
      </c>
      <c r="AI165" s="70"/>
      <c r="AJ165" s="679" t="s">
        <v>163</v>
      </c>
      <c r="AK165" s="70"/>
      <c r="AL165" s="70"/>
      <c r="AM165" s="70"/>
      <c r="AN165" s="70"/>
      <c r="AO165" s="70"/>
      <c r="AP165" s="70"/>
      <c r="AS165" s="23" t="str">
        <f t="shared" si="23"/>
        <v>N/A</v>
      </c>
      <c r="AT165" s="23" t="str">
        <f t="shared" si="24"/>
        <v>N/A</v>
      </c>
      <c r="AU165" s="23" t="str">
        <f t="shared" si="25"/>
        <v>N/A</v>
      </c>
      <c r="AV165" s="23"/>
      <c r="AW165" s="23"/>
      <c r="AX165" s="23"/>
      <c r="AZ165" s="648"/>
    </row>
    <row r="166" spans="1:52" x14ac:dyDescent="0.25">
      <c r="A166" s="1091">
        <v>157</v>
      </c>
      <c r="B166" s="1092" t="s">
        <v>72</v>
      </c>
      <c r="C166" s="1097" t="str">
        <f t="shared" si="18"/>
        <v>LE 02</v>
      </c>
      <c r="D166" s="837" t="s">
        <v>802</v>
      </c>
      <c r="E166" s="875" t="str">
        <f>VLOOKUP(D166,Poeng!$B$10:$Q$251,Poeng!D$1,FALSE)</f>
        <v>Pre-requisite: statutory obligations fulfilled</v>
      </c>
      <c r="F166" s="122" t="str">
        <f>VLOOKUP(D166,Poeng!$B$10:$AA$251,Poeng!AA$1,FALSE)</f>
        <v>Yes/No</v>
      </c>
      <c r="G166" s="43"/>
      <c r="H166" s="123" t="str">
        <f>VLOOKUP(D166,Poeng!$B$10:$AD$251,Poeng!AD$1,FALSE)</f>
        <v>-</v>
      </c>
      <c r="I166" s="124" t="str">
        <f>VLOOKUP(D166,Poeng!$B$10:$BD$251,Poeng!BD$1,FALSE)</f>
        <v>N/A</v>
      </c>
      <c r="J166" s="80"/>
      <c r="K166" s="281"/>
      <c r="L166" s="809"/>
      <c r="M166" s="829"/>
      <c r="N166" s="83"/>
      <c r="O166" s="123" t="str">
        <f>VLOOKUP(D166,Poeng!$B$10:$BB$251,Poeng!AE$1,FALSE)</f>
        <v>-</v>
      </c>
      <c r="P166" s="123" t="str">
        <f>VLOOKUP(D166,Poeng!$B$10:$BG$251,Poeng!BG$1,FALSE)</f>
        <v>N/A</v>
      </c>
      <c r="Q166" s="755"/>
      <c r="R166" s="756"/>
      <c r="S166" s="749"/>
      <c r="T166" s="319"/>
      <c r="U166" s="83"/>
      <c r="V166" s="123" t="str">
        <f>VLOOKUP(D166,Poeng!$B$10:$BB$251,Poeng!AF$1,FALSE)</f>
        <v>-</v>
      </c>
      <c r="W166" s="123" t="str">
        <f>VLOOKUP(D166,Poeng!$B$10:$BJ$251,Poeng!BJ$1,FALSE)</f>
        <v>N/A</v>
      </c>
      <c r="X166" s="81"/>
      <c r="Y166" s="80"/>
      <c r="Z166" s="749"/>
      <c r="AA166" s="133"/>
      <c r="AB166" s="648"/>
      <c r="AC166" s="107">
        <f t="shared" si="20"/>
        <v>1</v>
      </c>
      <c r="AD166" s="3" t="e">
        <f>VLOOKUP(K166,'Assessment Details'!$O$45:$P$48,2,FALSE)</f>
        <v>#N/A</v>
      </c>
      <c r="AE166" s="3" t="e">
        <f>VLOOKUP(R166,'Assessment Details'!$O$45:$P$48,2,FALSE)</f>
        <v>#N/A</v>
      </c>
      <c r="AF166" s="3" t="e">
        <f>VLOOKUP(Y166,'Assessment Details'!$O$45:$P$48,2,FALSE)</f>
        <v>#N/A</v>
      </c>
      <c r="AI166" s="70"/>
      <c r="AJ166" s="679"/>
      <c r="AK166" s="70"/>
      <c r="AL166" s="70"/>
      <c r="AM166" s="70"/>
      <c r="AN166" s="70"/>
      <c r="AO166" s="70"/>
      <c r="AP166" s="70"/>
      <c r="AS166" s="23"/>
      <c r="AT166" s="23"/>
      <c r="AU166" s="23"/>
      <c r="AV166" s="23"/>
      <c r="AW166" s="23"/>
      <c r="AX166" s="23"/>
      <c r="AZ166" s="648"/>
    </row>
    <row r="167" spans="1:52" x14ac:dyDescent="0.25">
      <c r="A167" s="1091">
        <v>158</v>
      </c>
      <c r="B167" s="1092" t="s">
        <v>72</v>
      </c>
      <c r="C167" s="1097" t="str">
        <f t="shared" si="18"/>
        <v>LE 02</v>
      </c>
      <c r="D167" s="837" t="s">
        <v>803</v>
      </c>
      <c r="E167" s="875" t="str">
        <f>VLOOKUP(D167,Poeng!$B$10:$Q$251,Poeng!D$1,FALSE)</f>
        <v>Survey and evaluation</v>
      </c>
      <c r="F167" s="122">
        <f>VLOOKUP(D167,Poeng!$B$10:$AA$251,Poeng!AA$1,FALSE)</f>
        <v>1</v>
      </c>
      <c r="G167" s="43"/>
      <c r="H167" s="123">
        <f>VLOOKUP(D167,Poeng!$B$10:$AD$251,Poeng!AD$1,FALSE)</f>
        <v>0</v>
      </c>
      <c r="I167" s="124" t="str">
        <f>VLOOKUP(D167,Poeng!$B$10:$BD$251,Poeng!BD$1,FALSE)</f>
        <v>Good</v>
      </c>
      <c r="J167" s="80"/>
      <c r="K167" s="281"/>
      <c r="L167" s="809"/>
      <c r="M167" s="829"/>
      <c r="N167" s="83"/>
      <c r="O167" s="123">
        <f>VLOOKUP(D167,Poeng!$B$10:$BB$251,Poeng!AE$1,FALSE)</f>
        <v>0</v>
      </c>
      <c r="P167" s="123" t="str">
        <f>VLOOKUP(D167,Poeng!$B$10:$BG$251,Poeng!BG$1,FALSE)</f>
        <v>Good</v>
      </c>
      <c r="Q167" s="755"/>
      <c r="R167" s="756"/>
      <c r="S167" s="749"/>
      <c r="T167" s="319"/>
      <c r="U167" s="83"/>
      <c r="V167" s="123">
        <f>VLOOKUP(D167,Poeng!$B$10:$BB$251,Poeng!AF$1,FALSE)</f>
        <v>0</v>
      </c>
      <c r="W167" s="123" t="str">
        <f>VLOOKUP(D167,Poeng!$B$10:$BJ$251,Poeng!BJ$1,FALSE)</f>
        <v>Good</v>
      </c>
      <c r="X167" s="81"/>
      <c r="Y167" s="80"/>
      <c r="Z167" s="749"/>
      <c r="AA167" s="133"/>
      <c r="AB167" s="648"/>
      <c r="AC167" s="107">
        <f t="shared" si="20"/>
        <v>1</v>
      </c>
      <c r="AD167" s="3" t="e">
        <f>VLOOKUP(K167,'Assessment Details'!$O$45:$P$48,2,FALSE)</f>
        <v>#N/A</v>
      </c>
      <c r="AE167" s="3" t="e">
        <f>VLOOKUP(R167,'Assessment Details'!$O$45:$P$48,2,FALSE)</f>
        <v>#N/A</v>
      </c>
      <c r="AF167" s="3" t="e">
        <f>VLOOKUP(Y167,'Assessment Details'!$O$45:$P$48,2,FALSE)</f>
        <v>#N/A</v>
      </c>
      <c r="AI167" s="70"/>
      <c r="AJ167" s="679"/>
      <c r="AK167" s="70"/>
      <c r="AL167" s="70"/>
      <c r="AM167" s="70"/>
      <c r="AN167" s="70"/>
      <c r="AO167" s="70"/>
      <c r="AP167" s="70"/>
      <c r="AS167" s="23"/>
      <c r="AT167" s="23"/>
      <c r="AU167" s="23"/>
      <c r="AV167" s="23"/>
      <c r="AW167" s="23"/>
      <c r="AX167" s="23"/>
      <c r="AZ167" s="648"/>
    </row>
    <row r="168" spans="1:52" x14ac:dyDescent="0.25">
      <c r="A168" s="1091">
        <v>159</v>
      </c>
      <c r="B168" s="1092" t="s">
        <v>72</v>
      </c>
      <c r="C168" s="1097" t="str">
        <f t="shared" si="18"/>
        <v>LE 02</v>
      </c>
      <c r="D168" s="837" t="s">
        <v>804</v>
      </c>
      <c r="E168" s="875" t="str">
        <f>VLOOKUP(D168,Poeng!$B$10:$Q$251,Poeng!D$1,FALSE)</f>
        <v>Determin ecological possibilities</v>
      </c>
      <c r="F168" s="122">
        <f>VLOOKUP(D168,Poeng!$B$10:$AA$251,Poeng!AA$1,FALSE)</f>
        <v>1</v>
      </c>
      <c r="G168" s="43"/>
      <c r="H168" s="123">
        <f>VLOOKUP(D168,Poeng!$B$10:$AD$251,Poeng!AD$1,FALSE)</f>
        <v>0</v>
      </c>
      <c r="I168" s="124" t="str">
        <f>VLOOKUP(D168,Poeng!$B$10:$BD$251,Poeng!BD$1,FALSE)</f>
        <v>N/A</v>
      </c>
      <c r="J168" s="80"/>
      <c r="K168" s="281"/>
      <c r="L168" s="809"/>
      <c r="M168" s="829"/>
      <c r="N168" s="83"/>
      <c r="O168" s="123">
        <f>VLOOKUP(D168,Poeng!$B$10:$BB$251,Poeng!AE$1,FALSE)</f>
        <v>0</v>
      </c>
      <c r="P168" s="123" t="str">
        <f>VLOOKUP(D168,Poeng!$B$10:$BG$251,Poeng!BG$1,FALSE)</f>
        <v>N/A</v>
      </c>
      <c r="Q168" s="755"/>
      <c r="R168" s="756"/>
      <c r="S168" s="749"/>
      <c r="T168" s="319"/>
      <c r="U168" s="83"/>
      <c r="V168" s="123">
        <f>VLOOKUP(D168,Poeng!$B$10:$BB$251,Poeng!AF$1,FALSE)</f>
        <v>0</v>
      </c>
      <c r="W168" s="123" t="str">
        <f>VLOOKUP(D168,Poeng!$B$10:$BJ$251,Poeng!BJ$1,FALSE)</f>
        <v>N/A</v>
      </c>
      <c r="X168" s="81"/>
      <c r="Y168" s="80"/>
      <c r="Z168" s="749"/>
      <c r="AA168" s="133"/>
      <c r="AB168" s="648"/>
      <c r="AC168" s="107">
        <f t="shared" si="20"/>
        <v>1</v>
      </c>
      <c r="AD168" s="3" t="e">
        <f>VLOOKUP(K168,'Assessment Details'!$O$45:$P$48,2,FALSE)</f>
        <v>#N/A</v>
      </c>
      <c r="AE168" s="3" t="e">
        <f>VLOOKUP(R168,'Assessment Details'!$O$45:$P$48,2,FALSE)</f>
        <v>#N/A</v>
      </c>
      <c r="AF168" s="3" t="e">
        <f>VLOOKUP(Y168,'Assessment Details'!$O$45:$P$48,2,FALSE)</f>
        <v>#N/A</v>
      </c>
      <c r="AI168" s="70"/>
      <c r="AJ168" s="679"/>
      <c r="AK168" s="70"/>
      <c r="AL168" s="70"/>
      <c r="AM168" s="70"/>
      <c r="AN168" s="70"/>
      <c r="AO168" s="70"/>
      <c r="AP168" s="70"/>
      <c r="AS168" s="23"/>
      <c r="AT168" s="23"/>
      <c r="AU168" s="23"/>
      <c r="AV168" s="23"/>
      <c r="AW168" s="23"/>
      <c r="AX168" s="23"/>
      <c r="AZ168" s="648"/>
    </row>
    <row r="169" spans="1:52" x14ac:dyDescent="0.25">
      <c r="A169" s="1091">
        <v>160</v>
      </c>
      <c r="B169" s="1092" t="s">
        <v>72</v>
      </c>
      <c r="C169" s="938" t="s">
        <v>482</v>
      </c>
      <c r="D169" s="837" t="s">
        <v>482</v>
      </c>
      <c r="E169" s="874" t="str">
        <f>VLOOKUP(D169,Poeng!$B$10:$Q$251,Poeng!D$1,FALSE)</f>
        <v>LE 03 Managing impacts on ecology</v>
      </c>
      <c r="F169" s="879">
        <f>VLOOKUP(D169,Poeng!$B$10:$AA$251,Poeng!AA$1,FALSE)</f>
        <v>3</v>
      </c>
      <c r="G169" s="1015"/>
      <c r="H169" s="880" t="str">
        <f>VLOOKUP(D169,Poeng!$B$10:$AH$251,Poeng!AH$1,FALSE)&amp;" c. "&amp;ROUND(VLOOKUP(D169,Poeng!$B$10:$AD$251,Poeng!AD$1,FALSE)*100,1)&amp;" %"</f>
        <v>0 c. 0 %</v>
      </c>
      <c r="I169" s="938" t="str">
        <f>VLOOKUP(D169,Poeng!$B$10:$BD$251,Poeng!BD$1,FALSE)</f>
        <v>N/A</v>
      </c>
      <c r="J169" s="80"/>
      <c r="K169" s="281"/>
      <c r="L169" s="809"/>
      <c r="M169" s="829"/>
      <c r="N169" s="1015"/>
      <c r="O169" s="891" t="str">
        <f>VLOOKUP(D169,Poeng!$B$10:$BB$251,Poeng!AI$1,FALSE)&amp;" c. "&amp;ROUND(VLOOKUP(D169,Poeng!$B$10:$BB$251,Poeng!AE$1,FALSE)*100,1)&amp;" %"</f>
        <v>0 c. 0 %</v>
      </c>
      <c r="P169" s="123" t="str">
        <f>VLOOKUP(D169,Poeng!$B$10:$BG$251,Poeng!BG$1,FALSE)</f>
        <v>N/A</v>
      </c>
      <c r="Q169" s="755"/>
      <c r="R169" s="756"/>
      <c r="S169" s="749"/>
      <c r="T169" s="319"/>
      <c r="U169" s="1015"/>
      <c r="V169" s="891" t="str">
        <f>VLOOKUP(D169,Poeng!$B$10:$BB$251,Poeng!AJ$1,FALSE)&amp;" c. "&amp;ROUND(VLOOKUP(D169,Poeng!$B$10:$BB$251,Poeng!AF$1,FALSE)*100,1)&amp;" %"</f>
        <v>0 c. 0 %</v>
      </c>
      <c r="W169" s="123" t="str">
        <f>VLOOKUP(D169,Poeng!$B$10:$BJ$251,Poeng!BJ$1,FALSE)</f>
        <v>N/A</v>
      </c>
      <c r="X169" s="81"/>
      <c r="Y169" s="80"/>
      <c r="Z169" s="749"/>
      <c r="AA169" s="133"/>
      <c r="AB169" s="648"/>
      <c r="AC169" s="107">
        <f t="shared" si="20"/>
        <v>1</v>
      </c>
      <c r="AD169" s="3" t="e">
        <f>VLOOKUP(K169,'Assessment Details'!$O$45:$P$48,2,FALSE)</f>
        <v>#N/A</v>
      </c>
      <c r="AE169" s="3" t="e">
        <f>VLOOKUP(R169,'Assessment Details'!$O$45:$P$48,2,FALSE)</f>
        <v>#N/A</v>
      </c>
      <c r="AF169" s="3" t="e">
        <f>VLOOKUP(Y169,'Assessment Details'!$O$45:$P$48,2,FALSE)</f>
        <v>#N/A</v>
      </c>
      <c r="AI169" s="70"/>
      <c r="AJ169" s="679"/>
      <c r="AK169" s="70"/>
      <c r="AL169" s="70"/>
      <c r="AM169" s="70"/>
      <c r="AN169" s="70"/>
      <c r="AO169" s="70"/>
      <c r="AP169" s="70"/>
      <c r="AS169" s="23"/>
      <c r="AT169" s="23"/>
      <c r="AU169" s="23"/>
      <c r="AV169" s="23"/>
      <c r="AW169" s="23"/>
      <c r="AX169" s="23"/>
      <c r="AZ169" s="648"/>
    </row>
    <row r="170" spans="1:52" x14ac:dyDescent="0.25">
      <c r="A170" s="1091">
        <v>161</v>
      </c>
      <c r="B170" s="1092" t="s">
        <v>72</v>
      </c>
      <c r="C170" s="1097" t="s">
        <v>482</v>
      </c>
      <c r="D170" s="837" t="s">
        <v>806</v>
      </c>
      <c r="E170" s="875" t="str">
        <f>VLOOKUP(D170,Poeng!$B$10:$Q$251,Poeng!D$1,FALSE)</f>
        <v>Planning and measures on site</v>
      </c>
      <c r="F170" s="122">
        <f>VLOOKUP(D170,Poeng!$B$10:$AA$251,Poeng!AA$1,FALSE)</f>
        <v>1</v>
      </c>
      <c r="G170" s="43"/>
      <c r="H170" s="123">
        <f>VLOOKUP(D170,Poeng!$B$10:$AD$251,Poeng!AD$1,FALSE)</f>
        <v>0</v>
      </c>
      <c r="I170" s="124" t="str">
        <f>VLOOKUP(D170,Poeng!$B$10:$BD$251,Poeng!BD$1,FALSE)</f>
        <v>N/A</v>
      </c>
      <c r="J170" s="80"/>
      <c r="K170" s="281"/>
      <c r="L170" s="809"/>
      <c r="M170" s="829"/>
      <c r="N170" s="83"/>
      <c r="O170" s="123">
        <f>VLOOKUP(D170,Poeng!$B$10:$BB$251,Poeng!AE$1,FALSE)</f>
        <v>0</v>
      </c>
      <c r="P170" s="123" t="str">
        <f>VLOOKUP(D170,Poeng!$B$10:$BG$251,Poeng!BG$1,FALSE)</f>
        <v>N/A</v>
      </c>
      <c r="Q170" s="755"/>
      <c r="R170" s="756"/>
      <c r="S170" s="1110"/>
      <c r="T170" s="319"/>
      <c r="U170" s="83"/>
      <c r="V170" s="123">
        <f>VLOOKUP(D170,Poeng!$B$10:$BB$251,Poeng!AF$1,FALSE)</f>
        <v>0</v>
      </c>
      <c r="W170" s="123" t="str">
        <f>VLOOKUP(D170,Poeng!$B$10:$BJ$251,Poeng!BJ$1,FALSE)</f>
        <v>N/A</v>
      </c>
      <c r="X170" s="81"/>
      <c r="Y170" s="80"/>
      <c r="Z170" s="1110"/>
      <c r="AA170" s="133"/>
      <c r="AB170" s="648"/>
      <c r="AC170" s="107">
        <f t="shared" si="20"/>
        <v>1</v>
      </c>
      <c r="AD170" s="3" t="e">
        <f>VLOOKUP(K170,'Assessment Details'!$O$45:$P$48,2,FALSE)</f>
        <v>#N/A</v>
      </c>
      <c r="AE170" s="3" t="e">
        <f>VLOOKUP(R170,'Assessment Details'!$O$45:$P$48,2,FALSE)</f>
        <v>#N/A</v>
      </c>
      <c r="AF170" s="3" t="e">
        <f>VLOOKUP(Y170,'Assessment Details'!$O$45:$P$48,2,FALSE)</f>
        <v>#N/A</v>
      </c>
      <c r="AI170" s="70"/>
      <c r="AJ170" s="679"/>
      <c r="AK170" s="70"/>
      <c r="AL170" s="70"/>
      <c r="AM170" s="70"/>
      <c r="AN170" s="70"/>
      <c r="AO170" s="70"/>
      <c r="AP170" s="70"/>
      <c r="AS170" s="23"/>
      <c r="AT170" s="23"/>
      <c r="AU170" s="23"/>
      <c r="AV170" s="23"/>
      <c r="AW170" s="23"/>
      <c r="AX170" s="23"/>
      <c r="AZ170" s="648"/>
    </row>
    <row r="171" spans="1:52" x14ac:dyDescent="0.25">
      <c r="A171" s="1091">
        <v>162</v>
      </c>
      <c r="B171" s="1092" t="s">
        <v>72</v>
      </c>
      <c r="C171" s="1097" t="s">
        <v>482</v>
      </c>
      <c r="D171" s="837" t="s">
        <v>807</v>
      </c>
      <c r="E171" s="875" t="str">
        <f>VLOOKUP(D171,Poeng!$B$10:$Q$251,Poeng!D$1,FALSE)</f>
        <v>Managing negative impacts</v>
      </c>
      <c r="F171" s="122">
        <f>VLOOKUP(D171,Poeng!$B$10:$AA$251,Poeng!AA$1,FALSE)</f>
        <v>2</v>
      </c>
      <c r="G171" s="43"/>
      <c r="H171" s="123">
        <f>VLOOKUP(D171,Poeng!$B$10:$AD$251,Poeng!AD$1,FALSE)</f>
        <v>0</v>
      </c>
      <c r="I171" s="124" t="str">
        <f>VLOOKUP(D171,Poeng!$B$10:$BD$251,Poeng!BD$1,FALSE)</f>
        <v>N/A</v>
      </c>
      <c r="J171" s="80"/>
      <c r="K171" s="281"/>
      <c r="L171" s="809"/>
      <c r="M171" s="829"/>
      <c r="N171" s="83"/>
      <c r="O171" s="123">
        <f>VLOOKUP(D171,Poeng!$B$10:$BB$251,Poeng!AE$1,FALSE)</f>
        <v>0</v>
      </c>
      <c r="P171" s="123" t="str">
        <f>VLOOKUP(D171,Poeng!$B$10:$BG$251,Poeng!BG$1,FALSE)</f>
        <v>N/A</v>
      </c>
      <c r="Q171" s="755"/>
      <c r="R171" s="756"/>
      <c r="S171" s="1110"/>
      <c r="T171" s="319"/>
      <c r="U171" s="83"/>
      <c r="V171" s="123">
        <f>VLOOKUP(D171,Poeng!$B$10:$BB$251,Poeng!AF$1,FALSE)</f>
        <v>0</v>
      </c>
      <c r="W171" s="123" t="str">
        <f>VLOOKUP(D171,Poeng!$B$10:$BJ$251,Poeng!BJ$1,FALSE)</f>
        <v>N/A</v>
      </c>
      <c r="X171" s="81"/>
      <c r="Y171" s="80"/>
      <c r="Z171" s="1110"/>
      <c r="AA171" s="133"/>
      <c r="AB171" s="648"/>
      <c r="AC171" s="107">
        <f t="shared" si="20"/>
        <v>1</v>
      </c>
      <c r="AD171" s="3" t="e">
        <f>VLOOKUP(K171,'Assessment Details'!$O$45:$P$48,2,FALSE)</f>
        <v>#N/A</v>
      </c>
      <c r="AE171" s="3" t="e">
        <f>VLOOKUP(R171,'Assessment Details'!$O$45:$P$48,2,FALSE)</f>
        <v>#N/A</v>
      </c>
      <c r="AF171" s="3" t="e">
        <f>VLOOKUP(Y171,'Assessment Details'!$O$45:$P$48,2,FALSE)</f>
        <v>#N/A</v>
      </c>
      <c r="AI171" s="70"/>
      <c r="AJ171" s="679"/>
      <c r="AK171" s="70"/>
      <c r="AL171" s="70"/>
      <c r="AM171" s="70"/>
      <c r="AN171" s="70"/>
      <c r="AO171" s="70"/>
      <c r="AP171" s="70"/>
      <c r="AS171" s="23"/>
      <c r="AT171" s="23"/>
      <c r="AU171" s="23"/>
      <c r="AV171" s="23"/>
      <c r="AW171" s="23"/>
      <c r="AX171" s="23"/>
      <c r="AZ171" s="648"/>
    </row>
    <row r="172" spans="1:52" x14ac:dyDescent="0.25">
      <c r="A172" s="1091">
        <v>163</v>
      </c>
      <c r="B172" s="1092" t="s">
        <v>72</v>
      </c>
      <c r="C172" s="938" t="s">
        <v>184</v>
      </c>
      <c r="D172" s="837" t="s">
        <v>184</v>
      </c>
      <c r="E172" s="874" t="str">
        <f>VLOOKUP(D172,Poeng!$B$10:$Q$251,Poeng!D$1,FALSE)</f>
        <v>LE 04 Ecological change and enhancement</v>
      </c>
      <c r="F172" s="879">
        <f>VLOOKUP(D172,Poeng!$B$10:$AA$251,Poeng!AA$1,FALSE)</f>
        <v>4</v>
      </c>
      <c r="G172" s="1015"/>
      <c r="H172" s="880" t="str">
        <f>VLOOKUP(D172,Poeng!$B$10:$AH$251,Poeng!AH$1,FALSE)&amp;" c. "&amp;ROUND(VLOOKUP(D172,Poeng!$B$10:$AD$251,Poeng!AD$1,FALSE)*100,1)&amp;" %"</f>
        <v>0 c. 0 %</v>
      </c>
      <c r="I172" s="938" t="str">
        <f>VLOOKUP(D172,Poeng!$B$10:$BD$251,Poeng!BD$1,FALSE)</f>
        <v>N/A</v>
      </c>
      <c r="J172" s="80"/>
      <c r="K172" s="281"/>
      <c r="L172" s="809"/>
      <c r="M172" s="829"/>
      <c r="N172" s="1015"/>
      <c r="O172" s="891" t="str">
        <f>VLOOKUP(D172,Poeng!$B$10:$BB$251,Poeng!AI$1,FALSE)&amp;" c. "&amp;ROUND(VLOOKUP(D172,Poeng!$B$10:$BB$251,Poeng!AE$1,FALSE)*100,1)&amp;" %"</f>
        <v>0 c. 0 %</v>
      </c>
      <c r="P172" s="123" t="str">
        <f>VLOOKUP(D172,Poeng!$B$10:$BG$251,Poeng!BG$1,FALSE)</f>
        <v>N/A</v>
      </c>
      <c r="Q172" s="755"/>
      <c r="R172" s="756"/>
      <c r="S172" s="1110"/>
      <c r="T172" s="319"/>
      <c r="U172" s="1015"/>
      <c r="V172" s="891" t="str">
        <f>VLOOKUP(D172,Poeng!$B$10:$BB$251,Poeng!AJ$1,FALSE)&amp;" c. "&amp;ROUND(VLOOKUP(D172,Poeng!$B$10:$BB$251,Poeng!AF$1,FALSE)*100,1)&amp;" %"</f>
        <v>0 c. 0 %</v>
      </c>
      <c r="W172" s="123" t="str">
        <f>VLOOKUP(D172,Poeng!$B$10:$BJ$251,Poeng!BJ$1,FALSE)</f>
        <v>N/A</v>
      </c>
      <c r="X172" s="81"/>
      <c r="Y172" s="80"/>
      <c r="Z172" s="1110"/>
      <c r="AA172" s="133"/>
      <c r="AB172" s="648" t="s">
        <v>15</v>
      </c>
      <c r="AC172" s="107">
        <f t="shared" si="20"/>
        <v>1</v>
      </c>
      <c r="AD172" s="3" t="e">
        <f>VLOOKUP(K172,'Assessment Details'!$O$45:$P$48,2,FALSE)</f>
        <v>#N/A</v>
      </c>
      <c r="AE172" s="3" t="e">
        <f>VLOOKUP(R172,'Assessment Details'!$O$45:$P$48,2,FALSE)</f>
        <v>#N/A</v>
      </c>
      <c r="AF172" s="3" t="e">
        <f>VLOOKUP(Y172,'Assessment Details'!$O$45:$P$48,2,FALSE)</f>
        <v>#N/A</v>
      </c>
      <c r="AI172" s="70"/>
      <c r="AJ172" s="679" t="s">
        <v>164</v>
      </c>
      <c r="AK172" s="70"/>
      <c r="AL172" s="70"/>
      <c r="AM172" s="70"/>
      <c r="AN172" s="70"/>
      <c r="AO172" s="70"/>
      <c r="AP172" s="70"/>
      <c r="AS172" s="23" t="str">
        <f t="shared" si="23"/>
        <v>N/A</v>
      </c>
      <c r="AT172" s="23" t="str">
        <f t="shared" si="24"/>
        <v>N/A</v>
      </c>
      <c r="AU172" s="23" t="str">
        <f t="shared" si="25"/>
        <v>N/A</v>
      </c>
      <c r="AV172" s="23"/>
      <c r="AW172" s="23"/>
      <c r="AX172" s="23"/>
      <c r="AZ172" s="648"/>
    </row>
    <row r="173" spans="1:52" x14ac:dyDescent="0.25">
      <c r="A173" s="1091">
        <v>164</v>
      </c>
      <c r="B173" s="1092" t="s">
        <v>72</v>
      </c>
      <c r="C173" s="1097" t="str">
        <f t="shared" si="18"/>
        <v>LE 04</v>
      </c>
      <c r="D173" s="837" t="s">
        <v>808</v>
      </c>
      <c r="E173" s="875" t="str">
        <f>VLOOKUP(D173,Poeng!$B$10:$Q$251,Poeng!D$1,FALSE)</f>
        <v>Pre-requisite: managing negative impacts on ecology</v>
      </c>
      <c r="F173" s="122" t="str">
        <f>VLOOKUP(D173,Poeng!$B$10:$AA$251,Poeng!AA$1,FALSE)</f>
        <v>Yes/No</v>
      </c>
      <c r="G173" s="43"/>
      <c r="H173" s="123" t="str">
        <f>VLOOKUP(D173,Poeng!$B$10:$AD$251,Poeng!AD$1,FALSE)</f>
        <v>-</v>
      </c>
      <c r="I173" s="124" t="str">
        <f>VLOOKUP(D173,Poeng!$B$10:$BD$251,Poeng!BD$1,FALSE)</f>
        <v>N/A</v>
      </c>
      <c r="J173" s="80"/>
      <c r="K173" s="281"/>
      <c r="L173" s="809"/>
      <c r="M173" s="829"/>
      <c r="N173" s="83"/>
      <c r="O173" s="123" t="str">
        <f>VLOOKUP(D173,Poeng!$B$10:$BB$251,Poeng!AE$1,FALSE)</f>
        <v>-</v>
      </c>
      <c r="P173" s="123" t="str">
        <f>VLOOKUP(D173,Poeng!$B$10:$BG$251,Poeng!BG$1,FALSE)</f>
        <v>N/A</v>
      </c>
      <c r="Q173" s="755"/>
      <c r="R173" s="756"/>
      <c r="S173" s="749"/>
      <c r="T173" s="319"/>
      <c r="U173" s="83"/>
      <c r="V173" s="123" t="str">
        <f>VLOOKUP(D173,Poeng!$B$10:$BB$251,Poeng!AF$1,FALSE)</f>
        <v>-</v>
      </c>
      <c r="W173" s="123" t="str">
        <f>VLOOKUP(D173,Poeng!$B$10:$BJ$251,Poeng!BJ$1,FALSE)</f>
        <v>N/A</v>
      </c>
      <c r="X173" s="81"/>
      <c r="Y173" s="80"/>
      <c r="Z173" s="749"/>
      <c r="AA173" s="133"/>
      <c r="AB173" s="648"/>
      <c r="AC173" s="107">
        <f t="shared" si="20"/>
        <v>1</v>
      </c>
      <c r="AD173" s="3" t="e">
        <f>VLOOKUP(K173,'Assessment Details'!$O$45:$P$48,2,FALSE)</f>
        <v>#N/A</v>
      </c>
      <c r="AE173" s="3" t="e">
        <f>VLOOKUP(R173,'Assessment Details'!$O$45:$P$48,2,FALSE)</f>
        <v>#N/A</v>
      </c>
      <c r="AF173" s="3" t="e">
        <f>VLOOKUP(Y173,'Assessment Details'!$O$45:$P$48,2,FALSE)</f>
        <v>#N/A</v>
      </c>
      <c r="AI173" s="70"/>
      <c r="AJ173" s="679"/>
      <c r="AK173" s="70"/>
      <c r="AL173" s="70"/>
      <c r="AM173" s="70"/>
      <c r="AN173" s="70"/>
      <c r="AO173" s="70"/>
      <c r="AP173" s="70"/>
      <c r="AS173" s="23"/>
      <c r="AT173" s="23"/>
      <c r="AU173" s="23"/>
      <c r="AV173" s="23"/>
      <c r="AW173" s="23"/>
      <c r="AX173" s="23"/>
      <c r="AZ173" s="648"/>
    </row>
    <row r="174" spans="1:52" x14ac:dyDescent="0.25">
      <c r="A174" s="1091">
        <v>165</v>
      </c>
      <c r="B174" s="1092" t="s">
        <v>72</v>
      </c>
      <c r="C174" s="1097" t="str">
        <f t="shared" si="18"/>
        <v>LE 04</v>
      </c>
      <c r="D174" s="837" t="s">
        <v>809</v>
      </c>
      <c r="E174" s="875" t="str">
        <f>VLOOKUP(D174,Poeng!$B$10:$Q$251,Poeng!D$1,FALSE)</f>
        <v>Ecological enhancement</v>
      </c>
      <c r="F174" s="122">
        <f>VLOOKUP(D174,Poeng!$B$10:$AA$251,Poeng!AA$1,FALSE)</f>
        <v>1</v>
      </c>
      <c r="G174" s="43"/>
      <c r="H174" s="123">
        <f>VLOOKUP(D174,Poeng!$B$10:$AD$251,Poeng!AD$1,FALSE)</f>
        <v>0</v>
      </c>
      <c r="I174" s="124" t="str">
        <f>VLOOKUP(D174,Poeng!$B$10:$BD$251,Poeng!BD$1,FALSE)</f>
        <v>Excellent</v>
      </c>
      <c r="J174" s="80"/>
      <c r="K174" s="281"/>
      <c r="L174" s="809"/>
      <c r="M174" s="829"/>
      <c r="N174" s="83"/>
      <c r="O174" s="123">
        <f>VLOOKUP(D174,Poeng!$B$10:$BB$251,Poeng!AE$1,FALSE)</f>
        <v>0</v>
      </c>
      <c r="P174" s="123" t="str">
        <f>VLOOKUP(D174,Poeng!$B$10:$BG$251,Poeng!BG$1,FALSE)</f>
        <v>Excellent</v>
      </c>
      <c r="Q174" s="755"/>
      <c r="R174" s="756"/>
      <c r="S174" s="749"/>
      <c r="T174" s="319"/>
      <c r="U174" s="83"/>
      <c r="V174" s="123">
        <f>VLOOKUP(D174,Poeng!$B$10:$BB$251,Poeng!AF$1,FALSE)</f>
        <v>0</v>
      </c>
      <c r="W174" s="123" t="str">
        <f>VLOOKUP(D174,Poeng!$B$10:$BJ$251,Poeng!BJ$1,FALSE)</f>
        <v>Excellent</v>
      </c>
      <c r="X174" s="81"/>
      <c r="Y174" s="80"/>
      <c r="Z174" s="749"/>
      <c r="AA174" s="133"/>
      <c r="AB174" s="648"/>
      <c r="AC174" s="107">
        <f t="shared" si="20"/>
        <v>1</v>
      </c>
      <c r="AD174" s="3" t="e">
        <f>VLOOKUP(K174,'Assessment Details'!$O$45:$P$48,2,FALSE)</f>
        <v>#N/A</v>
      </c>
      <c r="AE174" s="3" t="e">
        <f>VLOOKUP(R174,'Assessment Details'!$O$45:$P$48,2,FALSE)</f>
        <v>#N/A</v>
      </c>
      <c r="AF174" s="3" t="e">
        <f>VLOOKUP(Y174,'Assessment Details'!$O$45:$P$48,2,FALSE)</f>
        <v>#N/A</v>
      </c>
      <c r="AI174" s="70"/>
      <c r="AJ174" s="679"/>
      <c r="AK174" s="70"/>
      <c r="AL174" s="70"/>
      <c r="AM174" s="70"/>
      <c r="AN174" s="70"/>
      <c r="AO174" s="70"/>
      <c r="AP174" s="70"/>
      <c r="AS174" s="23"/>
      <c r="AT174" s="23"/>
      <c r="AU174" s="23"/>
      <c r="AV174" s="23"/>
      <c r="AW174" s="23"/>
      <c r="AX174" s="23"/>
      <c r="AZ174" s="648"/>
    </row>
    <row r="175" spans="1:52" x14ac:dyDescent="0.25">
      <c r="A175" s="1091">
        <v>166</v>
      </c>
      <c r="B175" s="1092" t="s">
        <v>72</v>
      </c>
      <c r="C175" s="1097" t="str">
        <f t="shared" si="18"/>
        <v>LE 04</v>
      </c>
      <c r="D175" s="837" t="s">
        <v>810</v>
      </c>
      <c r="E175" s="875" t="str">
        <f>VLOOKUP(D175,Poeng!$B$10:$Q$251,Poeng!D$1,FALSE)</f>
        <v>Calculation of change in biodiversity</v>
      </c>
      <c r="F175" s="122">
        <f>VLOOKUP(D175,Poeng!$B$10:$AA$251,Poeng!AA$1,FALSE)</f>
        <v>3</v>
      </c>
      <c r="G175" s="43"/>
      <c r="H175" s="123">
        <f>VLOOKUP(D175,Poeng!$B$10:$AD$251,Poeng!AD$1,FALSE)</f>
        <v>0</v>
      </c>
      <c r="I175" s="124" t="str">
        <f>VLOOKUP(D175,Poeng!$B$10:$BD$251,Poeng!BD$1,FALSE)</f>
        <v>N/A</v>
      </c>
      <c r="J175" s="80"/>
      <c r="K175" s="281"/>
      <c r="L175" s="809"/>
      <c r="M175" s="829"/>
      <c r="N175" s="83"/>
      <c r="O175" s="123">
        <f>VLOOKUP(D175,Poeng!$B$10:$BB$251,Poeng!AE$1,FALSE)</f>
        <v>0</v>
      </c>
      <c r="P175" s="123" t="str">
        <f>VLOOKUP(D175,Poeng!$B$10:$BG$251,Poeng!BG$1,FALSE)</f>
        <v>N/A</v>
      </c>
      <c r="Q175" s="755"/>
      <c r="R175" s="756"/>
      <c r="S175" s="749"/>
      <c r="T175" s="319"/>
      <c r="U175" s="83"/>
      <c r="V175" s="123">
        <f>VLOOKUP(D175,Poeng!$B$10:$BB$251,Poeng!AF$1,FALSE)</f>
        <v>0</v>
      </c>
      <c r="W175" s="123" t="str">
        <f>VLOOKUP(D175,Poeng!$B$10:$BJ$251,Poeng!BJ$1,FALSE)</f>
        <v>N/A</v>
      </c>
      <c r="X175" s="81"/>
      <c r="Y175" s="80"/>
      <c r="Z175" s="749"/>
      <c r="AA175" s="133"/>
      <c r="AB175" s="648"/>
      <c r="AC175" s="107">
        <f t="shared" si="20"/>
        <v>1</v>
      </c>
      <c r="AD175" s="3" t="e">
        <f>VLOOKUP(K175,'Assessment Details'!$O$45:$P$48,2,FALSE)</f>
        <v>#N/A</v>
      </c>
      <c r="AE175" s="3" t="e">
        <f>VLOOKUP(R175,'Assessment Details'!$O$45:$P$48,2,FALSE)</f>
        <v>#N/A</v>
      </c>
      <c r="AF175" s="3" t="e">
        <f>VLOOKUP(Y175,'Assessment Details'!$O$45:$P$48,2,FALSE)</f>
        <v>#N/A</v>
      </c>
      <c r="AI175" s="70"/>
      <c r="AJ175" s="679"/>
      <c r="AK175" s="70"/>
      <c r="AL175" s="70"/>
      <c r="AM175" s="70"/>
      <c r="AN175" s="70"/>
      <c r="AO175" s="70"/>
      <c r="AP175" s="70"/>
      <c r="AS175" s="23"/>
      <c r="AT175" s="23"/>
      <c r="AU175" s="23"/>
      <c r="AV175" s="23"/>
      <c r="AW175" s="23"/>
      <c r="AX175" s="23"/>
      <c r="AZ175" s="648"/>
    </row>
    <row r="176" spans="1:52" x14ac:dyDescent="0.25">
      <c r="A176" s="1091">
        <v>167</v>
      </c>
      <c r="B176" s="1092" t="s">
        <v>72</v>
      </c>
      <c r="C176" s="938" t="s">
        <v>185</v>
      </c>
      <c r="D176" s="837" t="s">
        <v>185</v>
      </c>
      <c r="E176" s="874" t="str">
        <f>VLOOKUP(D176,Poeng!$B$10:$Q$251,Poeng!D$1,FALSE)</f>
        <v>LE 05 Long term ecology management and maintenance</v>
      </c>
      <c r="F176" s="879">
        <f>VLOOKUP(D176,Poeng!$B$10:$AA$251,Poeng!AA$1,FALSE)</f>
        <v>2</v>
      </c>
      <c r="G176" s="1015"/>
      <c r="H176" s="880" t="str">
        <f>VLOOKUP(D176,Poeng!$B$10:$AH$251,Poeng!AH$1,FALSE)&amp;" c. "&amp;ROUND(VLOOKUP(D176,Poeng!$B$10:$AD$251,Poeng!AD$1,FALSE)*100,1)&amp;" %"</f>
        <v>0 c. 0 %</v>
      </c>
      <c r="I176" s="938" t="str">
        <f>VLOOKUP(D176,Poeng!$B$10:$BD$251,Poeng!BD$1,FALSE)</f>
        <v>N/A</v>
      </c>
      <c r="J176" s="80"/>
      <c r="K176" s="281"/>
      <c r="L176" s="809"/>
      <c r="M176" s="829"/>
      <c r="N176" s="1015"/>
      <c r="O176" s="891" t="str">
        <f>VLOOKUP(D176,Poeng!$B$10:$BB$251,Poeng!AI$1,FALSE)&amp;" c. "&amp;ROUND(VLOOKUP(D176,Poeng!$B$10:$BB$251,Poeng!AE$1,FALSE)*100,1)&amp;" %"</f>
        <v>0 c. 0 %</v>
      </c>
      <c r="P176" s="123" t="str">
        <f>VLOOKUP(D176,Poeng!$B$10:$BG$251,Poeng!BG$1,FALSE)</f>
        <v>N/A</v>
      </c>
      <c r="Q176" s="755"/>
      <c r="R176" s="756"/>
      <c r="S176" s="749"/>
      <c r="T176" s="319"/>
      <c r="U176" s="1015"/>
      <c r="V176" s="891" t="str">
        <f>VLOOKUP(D176,Poeng!$B$10:$BB$251,Poeng!AJ$1,FALSE)&amp;" c. "&amp;ROUND(VLOOKUP(D176,Poeng!$B$10:$BB$251,Poeng!AF$1,FALSE)*100,1)&amp;" %"</f>
        <v>0 c. 0 %</v>
      </c>
      <c r="W176" s="123" t="str">
        <f>VLOOKUP(D176,Poeng!$B$10:$BJ$251,Poeng!BJ$1,FALSE)</f>
        <v>N/A</v>
      </c>
      <c r="X176" s="81"/>
      <c r="Y176" s="80"/>
      <c r="Z176" s="749"/>
      <c r="AA176" s="133"/>
      <c r="AB176" s="648" t="s">
        <v>15</v>
      </c>
      <c r="AC176" s="107">
        <f t="shared" si="20"/>
        <v>1</v>
      </c>
      <c r="AD176" s="3" t="e">
        <f>VLOOKUP(K176,'Assessment Details'!$O$45:$P$48,2,FALSE)</f>
        <v>#N/A</v>
      </c>
      <c r="AE176" s="3" t="e">
        <f>VLOOKUP(R176,'Assessment Details'!$O$45:$P$48,2,FALSE)</f>
        <v>#N/A</v>
      </c>
      <c r="AF176" s="3" t="e">
        <f>VLOOKUP(Y176,'Assessment Details'!$O$45:$P$48,2,FALSE)</f>
        <v>#N/A</v>
      </c>
      <c r="AI176" s="70"/>
      <c r="AJ176" s="679" t="s">
        <v>165</v>
      </c>
      <c r="AK176" s="70"/>
      <c r="AL176" s="70"/>
      <c r="AM176" s="70"/>
      <c r="AN176" s="70"/>
      <c r="AO176" s="70"/>
      <c r="AP176" s="70"/>
      <c r="AS176" s="23" t="str">
        <f t="shared" si="23"/>
        <v>N/A</v>
      </c>
      <c r="AT176" s="23" t="str">
        <f t="shared" si="24"/>
        <v>N/A</v>
      </c>
      <c r="AU176" s="23" t="str">
        <f t="shared" si="25"/>
        <v>N/A</v>
      </c>
      <c r="AV176" s="23"/>
      <c r="AW176" s="23"/>
      <c r="AX176" s="23"/>
      <c r="AZ176" s="648"/>
    </row>
    <row r="177" spans="1:52" ht="30" x14ac:dyDescent="0.25">
      <c r="A177" s="1091">
        <v>168</v>
      </c>
      <c r="B177" s="1092" t="s">
        <v>72</v>
      </c>
      <c r="C177" s="1102" t="str">
        <f t="shared" si="18"/>
        <v>LE 05</v>
      </c>
      <c r="D177" s="837" t="s">
        <v>811</v>
      </c>
      <c r="E177" s="1086" t="str">
        <f>VLOOKUP(D177,Poeng!$B$10:$Q$251,Poeng!D$1,FALSE)</f>
        <v>Pre-requisite: statutory obligations, planning and site implementation</v>
      </c>
      <c r="F177" s="122" t="str">
        <f>VLOOKUP(D177,Poeng!$B$10:$AA$251,Poeng!AA$1,FALSE)</f>
        <v>Yes/No</v>
      </c>
      <c r="G177" s="43"/>
      <c r="H177" s="123" t="str">
        <f>VLOOKUP(D177,Poeng!$B$10:$AD$251,Poeng!AD$1,FALSE)</f>
        <v>-</v>
      </c>
      <c r="I177" s="124" t="str">
        <f>VLOOKUP(D177,Poeng!$B$10:$BD$251,Poeng!BD$1,FALSE)</f>
        <v>N/A</v>
      </c>
      <c r="J177" s="80"/>
      <c r="K177" s="281"/>
      <c r="L177" s="809"/>
      <c r="M177" s="829"/>
      <c r="N177" s="83"/>
      <c r="O177" s="123" t="str">
        <f>VLOOKUP(D177,Poeng!$B$10:$BB$251,Poeng!AE$1,FALSE)</f>
        <v>-</v>
      </c>
      <c r="P177" s="123" t="str">
        <f>VLOOKUP(D177,Poeng!$B$10:$BG$251,Poeng!BG$1,FALSE)</f>
        <v>N/A</v>
      </c>
      <c r="Q177" s="755"/>
      <c r="R177" s="756"/>
      <c r="S177" s="749"/>
      <c r="T177" s="319"/>
      <c r="U177" s="83"/>
      <c r="V177" s="123" t="str">
        <f>VLOOKUP(D177,Poeng!$B$10:$BB$251,Poeng!AF$1,FALSE)</f>
        <v>-</v>
      </c>
      <c r="W177" s="123" t="str">
        <f>VLOOKUP(D177,Poeng!$B$10:$BJ$251,Poeng!BJ$1,FALSE)</f>
        <v>N/A</v>
      </c>
      <c r="X177" s="81"/>
      <c r="Y177" s="80"/>
      <c r="Z177" s="749"/>
      <c r="AA177" s="133"/>
      <c r="AB177" s="648"/>
      <c r="AC177" s="107">
        <f t="shared" si="20"/>
        <v>1</v>
      </c>
      <c r="AD177" s="3" t="e">
        <f>VLOOKUP(K177,'Assessment Details'!$O$45:$P$48,2,FALSE)</f>
        <v>#N/A</v>
      </c>
      <c r="AE177" s="3" t="e">
        <f>VLOOKUP(R177,'Assessment Details'!$O$45:$P$48,2,FALSE)</f>
        <v>#N/A</v>
      </c>
      <c r="AF177" s="3" t="e">
        <f>VLOOKUP(Y177,'Assessment Details'!$O$45:$P$48,2,FALSE)</f>
        <v>#N/A</v>
      </c>
      <c r="AI177" s="70"/>
      <c r="AJ177" s="679"/>
      <c r="AK177" s="70"/>
      <c r="AL177" s="70"/>
      <c r="AM177" s="70"/>
      <c r="AN177" s="70"/>
      <c r="AO177" s="70"/>
      <c r="AP177" s="70"/>
      <c r="AS177" s="23"/>
      <c r="AT177" s="23"/>
      <c r="AU177" s="23"/>
      <c r="AV177" s="23"/>
      <c r="AW177" s="23"/>
      <c r="AX177" s="23"/>
      <c r="AZ177" s="648"/>
    </row>
    <row r="178" spans="1:52" x14ac:dyDescent="0.25">
      <c r="A178" s="1091">
        <v>169</v>
      </c>
      <c r="B178" s="1092" t="s">
        <v>72</v>
      </c>
      <c r="C178" s="1097" t="str">
        <f t="shared" si="18"/>
        <v>LE 05</v>
      </c>
      <c r="D178" s="837" t="s">
        <v>812</v>
      </c>
      <c r="E178" s="875" t="str">
        <f>VLOOKUP(D178,Poeng!$B$10:$Q$251,Poeng!D$1,FALSE)</f>
        <v>Management and maintenance throughout the project</v>
      </c>
      <c r="F178" s="122">
        <f>VLOOKUP(D178,Poeng!$B$10:$AA$251,Poeng!AA$1,FALSE)</f>
        <v>1</v>
      </c>
      <c r="G178" s="43"/>
      <c r="H178" s="123">
        <f>VLOOKUP(D178,Poeng!$B$10:$AD$251,Poeng!AD$1,FALSE)</f>
        <v>0</v>
      </c>
      <c r="I178" s="124" t="str">
        <f>VLOOKUP(D178,Poeng!$B$10:$BD$251,Poeng!BD$1,FALSE)</f>
        <v>N/A</v>
      </c>
      <c r="J178" s="80"/>
      <c r="K178" s="281"/>
      <c r="L178" s="809"/>
      <c r="M178" s="829"/>
      <c r="N178" s="83"/>
      <c r="O178" s="123">
        <f>VLOOKUP(D178,Poeng!$B$10:$BB$251,Poeng!AE$1,FALSE)</f>
        <v>0</v>
      </c>
      <c r="P178" s="123" t="str">
        <f>VLOOKUP(D178,Poeng!$B$10:$BG$251,Poeng!BG$1,FALSE)</f>
        <v>N/A</v>
      </c>
      <c r="Q178" s="755"/>
      <c r="R178" s="756"/>
      <c r="S178" s="749"/>
      <c r="T178" s="319"/>
      <c r="U178" s="83"/>
      <c r="V178" s="123">
        <f>VLOOKUP(D178,Poeng!$B$10:$BB$251,Poeng!AF$1,FALSE)</f>
        <v>0</v>
      </c>
      <c r="W178" s="123" t="str">
        <f>VLOOKUP(D178,Poeng!$B$10:$BJ$251,Poeng!BJ$1,FALSE)</f>
        <v>N/A</v>
      </c>
      <c r="X178" s="81"/>
      <c r="Y178" s="80"/>
      <c r="Z178" s="749"/>
      <c r="AA178" s="133"/>
      <c r="AB178" s="648"/>
      <c r="AC178" s="107">
        <f t="shared" si="20"/>
        <v>1</v>
      </c>
      <c r="AD178" s="3" t="e">
        <f>VLOOKUP(K178,'Assessment Details'!$O$45:$P$48,2,FALSE)</f>
        <v>#N/A</v>
      </c>
      <c r="AE178" s="3" t="e">
        <f>VLOOKUP(R178,'Assessment Details'!$O$45:$P$48,2,FALSE)</f>
        <v>#N/A</v>
      </c>
      <c r="AF178" s="3" t="e">
        <f>VLOOKUP(Y178,'Assessment Details'!$O$45:$P$48,2,FALSE)</f>
        <v>#N/A</v>
      </c>
      <c r="AI178" s="70"/>
      <c r="AJ178" s="679"/>
      <c r="AK178" s="70"/>
      <c r="AL178" s="70"/>
      <c r="AM178" s="70"/>
      <c r="AN178" s="70"/>
      <c r="AO178" s="70"/>
      <c r="AP178" s="70"/>
      <c r="AS178" s="23"/>
      <c r="AT178" s="23"/>
      <c r="AU178" s="23"/>
      <c r="AV178" s="23"/>
      <c r="AW178" s="23"/>
      <c r="AX178" s="23"/>
      <c r="AZ178" s="648"/>
    </row>
    <row r="179" spans="1:52" x14ac:dyDescent="0.25">
      <c r="A179" s="1091">
        <v>170</v>
      </c>
      <c r="B179" s="1092" t="s">
        <v>72</v>
      </c>
      <c r="C179" s="1097" t="str">
        <f t="shared" si="18"/>
        <v>LE 05</v>
      </c>
      <c r="D179" s="837" t="s">
        <v>813</v>
      </c>
      <c r="E179" s="875" t="str">
        <f>VLOOKUP(D179,Poeng!$B$10:$Q$251,Poeng!D$1,FALSE)</f>
        <v>Landscape and ecology management plan</v>
      </c>
      <c r="F179" s="122">
        <f>VLOOKUP(D179,Poeng!$B$10:$AA$251,Poeng!AA$1,FALSE)</f>
        <v>1</v>
      </c>
      <c r="G179" s="43"/>
      <c r="H179" s="123">
        <f>VLOOKUP(D179,Poeng!$B$10:$AD$251,Poeng!AD$1,FALSE)</f>
        <v>0</v>
      </c>
      <c r="I179" s="124" t="str">
        <f>VLOOKUP(D179,Poeng!$B$10:$BD$251,Poeng!BD$1,FALSE)</f>
        <v>N/A</v>
      </c>
      <c r="J179" s="80"/>
      <c r="K179" s="281"/>
      <c r="L179" s="809"/>
      <c r="M179" s="829"/>
      <c r="N179" s="83"/>
      <c r="O179" s="123">
        <f>VLOOKUP(D179,Poeng!$B$10:$BB$251,Poeng!AE$1,FALSE)</f>
        <v>0</v>
      </c>
      <c r="P179" s="123" t="str">
        <f>VLOOKUP(D179,Poeng!$B$10:$BG$251,Poeng!BG$1,FALSE)</f>
        <v>N/A</v>
      </c>
      <c r="Q179" s="755"/>
      <c r="R179" s="756"/>
      <c r="S179" s="749"/>
      <c r="T179" s="319"/>
      <c r="U179" s="83"/>
      <c r="V179" s="123">
        <f>VLOOKUP(D179,Poeng!$B$10:$BB$251,Poeng!AF$1,FALSE)</f>
        <v>0</v>
      </c>
      <c r="W179" s="123" t="str">
        <f>VLOOKUP(D179,Poeng!$B$10:$BJ$251,Poeng!BJ$1,FALSE)</f>
        <v>N/A</v>
      </c>
      <c r="X179" s="81"/>
      <c r="Y179" s="80"/>
      <c r="Z179" s="749"/>
      <c r="AA179" s="133"/>
      <c r="AB179" s="648"/>
      <c r="AC179" s="107">
        <f t="shared" si="20"/>
        <v>1</v>
      </c>
      <c r="AD179" s="3" t="e">
        <f>VLOOKUP(K179,'Assessment Details'!$O$45:$P$48,2,FALSE)</f>
        <v>#N/A</v>
      </c>
      <c r="AE179" s="3" t="e">
        <f>VLOOKUP(R179,'Assessment Details'!$O$45:$P$48,2,FALSE)</f>
        <v>#N/A</v>
      </c>
      <c r="AF179" s="3" t="e">
        <f>VLOOKUP(Y179,'Assessment Details'!$O$45:$P$48,2,FALSE)</f>
        <v>#N/A</v>
      </c>
      <c r="AI179" s="70"/>
      <c r="AJ179" s="679"/>
      <c r="AK179" s="70"/>
      <c r="AL179" s="70"/>
      <c r="AM179" s="70"/>
      <c r="AN179" s="70"/>
      <c r="AO179" s="70"/>
      <c r="AP179" s="70"/>
      <c r="AS179" s="23"/>
      <c r="AT179" s="23"/>
      <c r="AU179" s="23"/>
      <c r="AV179" s="23"/>
      <c r="AW179" s="23"/>
      <c r="AX179" s="23"/>
      <c r="AZ179" s="648"/>
    </row>
    <row r="180" spans="1:52" x14ac:dyDescent="0.25">
      <c r="A180" s="1091">
        <v>171</v>
      </c>
      <c r="B180" s="1092" t="s">
        <v>72</v>
      </c>
      <c r="C180" s="938" t="s">
        <v>186</v>
      </c>
      <c r="D180" s="837" t="s">
        <v>186</v>
      </c>
      <c r="E180" s="874" t="str">
        <f>VLOOKUP(D180,Poeng!$B$10:$Q$251,Poeng!D$1,FALSE)</f>
        <v>LE 06 Climate adaption</v>
      </c>
      <c r="F180" s="879">
        <f>VLOOKUP(D180,Poeng!$B$10:$AA$251,Poeng!AA$1,FALSE)</f>
        <v>1</v>
      </c>
      <c r="G180" s="1015"/>
      <c r="H180" s="880" t="str">
        <f>VLOOKUP(D180,Poeng!$B$10:$AH$251,Poeng!AH$1,FALSE)&amp;" c. "&amp;ROUND(VLOOKUP(D180,Poeng!$B$10:$AD$251,Poeng!AD$1,FALSE)*100,1)&amp;" %"</f>
        <v>0 c. 0 %</v>
      </c>
      <c r="I180" s="938" t="str">
        <f>VLOOKUP(D180,Poeng!$B$10:$BD$251,Poeng!BD$1,FALSE)</f>
        <v>N/A</v>
      </c>
      <c r="J180" s="80"/>
      <c r="K180" s="281"/>
      <c r="L180" s="809"/>
      <c r="M180" s="829"/>
      <c r="N180" s="1015"/>
      <c r="O180" s="891" t="str">
        <f>VLOOKUP(D180,Poeng!$B$10:$BB$251,Poeng!AI$1,FALSE)&amp;" c. "&amp;ROUND(VLOOKUP(D180,Poeng!$B$10:$BB$251,Poeng!AE$1,FALSE)*100,1)&amp;" %"</f>
        <v>0 c. 0 %</v>
      </c>
      <c r="P180" s="123" t="str">
        <f>VLOOKUP(D180,Poeng!$B$10:$BG$251,Poeng!BG$1,FALSE)</f>
        <v>N/A</v>
      </c>
      <c r="Q180" s="755"/>
      <c r="R180" s="756"/>
      <c r="S180" s="749"/>
      <c r="T180" s="319"/>
      <c r="U180" s="1015"/>
      <c r="V180" s="891" t="str">
        <f>VLOOKUP(D180,Poeng!$B$10:$BB$251,Poeng!AJ$1,FALSE)&amp;" c. "&amp;ROUND(VLOOKUP(D180,Poeng!$B$10:$BB$251,Poeng!AF$1,FALSE)*100,1)&amp;" %"</f>
        <v>0 c. 0 %</v>
      </c>
      <c r="W180" s="123" t="str">
        <f>VLOOKUP(D180,Poeng!$B$10:$BJ$251,Poeng!BJ$1,FALSE)</f>
        <v>N/A</v>
      </c>
      <c r="X180" s="81"/>
      <c r="Y180" s="80"/>
      <c r="Z180" s="749"/>
      <c r="AA180" s="133"/>
      <c r="AB180" s="648" t="s">
        <v>15</v>
      </c>
      <c r="AC180" s="107">
        <f t="shared" si="20"/>
        <v>1</v>
      </c>
      <c r="AD180" s="3" t="e">
        <f>VLOOKUP(K180,'Assessment Details'!$O$45:$P$48,2,FALSE)</f>
        <v>#N/A</v>
      </c>
      <c r="AE180" s="3" t="e">
        <f>VLOOKUP(R180,'Assessment Details'!$O$45:$P$48,2,FALSE)</f>
        <v>#N/A</v>
      </c>
      <c r="AF180" s="3" t="e">
        <f>VLOOKUP(Y180,'Assessment Details'!$O$45:$P$48,2,FALSE)</f>
        <v>#N/A</v>
      </c>
      <c r="AI180" s="70"/>
      <c r="AJ180" s="679" t="s">
        <v>169</v>
      </c>
      <c r="AK180" s="70"/>
      <c r="AL180" s="70"/>
      <c r="AM180" s="70"/>
      <c r="AN180" s="70"/>
      <c r="AO180" s="70"/>
      <c r="AP180" s="70"/>
      <c r="AS180" s="23" t="str">
        <f t="shared" si="23"/>
        <v>N/A</v>
      </c>
      <c r="AT180" s="23" t="str">
        <f t="shared" si="24"/>
        <v>N/A</v>
      </c>
      <c r="AU180" s="23" t="str">
        <f t="shared" si="25"/>
        <v>N/A</v>
      </c>
      <c r="AV180" s="23"/>
      <c r="AW180" s="23"/>
      <c r="AX180" s="23"/>
      <c r="AZ180" s="648"/>
    </row>
    <row r="181" spans="1:52" x14ac:dyDescent="0.25">
      <c r="A181" s="1091">
        <v>172</v>
      </c>
      <c r="B181" s="1092" t="s">
        <v>72</v>
      </c>
      <c r="C181" s="1097" t="str">
        <f t="shared" si="18"/>
        <v>LE 06</v>
      </c>
      <c r="D181" s="837" t="s">
        <v>814</v>
      </c>
      <c r="E181" s="875" t="str">
        <f>VLOOKUP(D181,Poeng!$B$10:$Q$251,Poeng!D$1,FALSE)</f>
        <v>Risk assessment</v>
      </c>
      <c r="F181" s="122">
        <f>VLOOKUP(D181,Poeng!$B$10:$AA$251,Poeng!AA$1,FALSE)</f>
        <v>1</v>
      </c>
      <c r="G181" s="43"/>
      <c r="H181" s="123">
        <f>VLOOKUP(D181,Poeng!$B$10:$AD$251,Poeng!AD$1,FALSE)</f>
        <v>0</v>
      </c>
      <c r="I181" s="124" t="str">
        <f>VLOOKUP(D181,Poeng!$B$10:$BD$251,Poeng!BD$1,FALSE)</f>
        <v>Very Good</v>
      </c>
      <c r="J181" s="80"/>
      <c r="K181" s="281"/>
      <c r="L181" s="809"/>
      <c r="M181" s="829"/>
      <c r="N181" s="83"/>
      <c r="O181" s="123">
        <f>VLOOKUP(D181,Poeng!$B$10:$BB$251,Poeng!AE$1,FALSE)</f>
        <v>0</v>
      </c>
      <c r="P181" s="123" t="str">
        <f>VLOOKUP(D181,Poeng!$B$10:$BG$251,Poeng!BG$1,FALSE)</f>
        <v>Very Good</v>
      </c>
      <c r="Q181" s="755"/>
      <c r="R181" s="756"/>
      <c r="S181" s="749"/>
      <c r="T181" s="319"/>
      <c r="U181" s="83"/>
      <c r="V181" s="123">
        <f>VLOOKUP(D181,Poeng!$B$10:$BB$251,Poeng!AF$1,FALSE)</f>
        <v>0</v>
      </c>
      <c r="W181" s="123" t="str">
        <f>VLOOKUP(D181,Poeng!$B$10:$BJ$251,Poeng!BJ$1,FALSE)</f>
        <v>Very Good</v>
      </c>
      <c r="X181" s="81"/>
      <c r="Y181" s="80"/>
      <c r="Z181" s="749"/>
      <c r="AA181" s="133"/>
      <c r="AB181" s="725"/>
      <c r="AC181" s="107">
        <f t="shared" si="20"/>
        <v>1</v>
      </c>
      <c r="AD181" s="3" t="e">
        <f>VLOOKUP(K181,'Assessment Details'!$O$45:$P$48,2,FALSE)</f>
        <v>#N/A</v>
      </c>
      <c r="AE181" s="3" t="e">
        <f>VLOOKUP(R181,'Assessment Details'!$O$45:$P$48,2,FALSE)</f>
        <v>#N/A</v>
      </c>
      <c r="AF181" s="3" t="e">
        <f>VLOOKUP(Y181,'Assessment Details'!$O$45:$P$48,2,FALSE)</f>
        <v>#N/A</v>
      </c>
      <c r="AI181" s="70"/>
      <c r="AJ181" s="679"/>
      <c r="AK181" s="70"/>
      <c r="AL181" s="70"/>
      <c r="AM181" s="70"/>
      <c r="AN181" s="70"/>
      <c r="AO181" s="70"/>
      <c r="AP181" s="70"/>
      <c r="AS181" s="23"/>
      <c r="AT181" s="23"/>
      <c r="AU181" s="23"/>
      <c r="AV181" s="23"/>
      <c r="AW181" s="23"/>
      <c r="AX181" s="23"/>
      <c r="AZ181" s="725"/>
    </row>
    <row r="182" spans="1:52" x14ac:dyDescent="0.25">
      <c r="A182" s="1091">
        <v>173</v>
      </c>
      <c r="B182" s="1092" t="s">
        <v>72</v>
      </c>
      <c r="C182" s="938" t="s">
        <v>483</v>
      </c>
      <c r="D182" s="837" t="s">
        <v>483</v>
      </c>
      <c r="E182" s="874" t="str">
        <f>VLOOKUP(D182,Poeng!$B$10:$Q$251,Poeng!D$1,FALSE)</f>
        <v>LE 07 Flooding and storm surge</v>
      </c>
      <c r="F182" s="879">
        <f>VLOOKUP(D182,Poeng!$B$10:$AA$251,Poeng!AA$1,FALSE)</f>
        <v>2</v>
      </c>
      <c r="G182" s="1015"/>
      <c r="H182" s="880" t="str">
        <f>VLOOKUP(D182,Poeng!$B$10:$AH$251,Poeng!AH$1,FALSE)&amp;" c. "&amp;ROUND(VLOOKUP(D182,Poeng!$B$10:$AD$251,Poeng!AD$1,FALSE)*100,1)&amp;" %"</f>
        <v>0 c. 0 %</v>
      </c>
      <c r="I182" s="938" t="str">
        <f>VLOOKUP(D182,Poeng!$B$10:$BD$251,Poeng!BD$1,FALSE)</f>
        <v>N/A</v>
      </c>
      <c r="J182" s="80"/>
      <c r="K182" s="281"/>
      <c r="L182" s="809"/>
      <c r="M182" s="829"/>
      <c r="N182" s="1015"/>
      <c r="O182" s="891" t="str">
        <f>VLOOKUP(D182,Poeng!$B$10:$BB$251,Poeng!AI$1,FALSE)&amp;" c. "&amp;ROUND(VLOOKUP(D182,Poeng!$B$10:$BB$251,Poeng!AE$1,FALSE)*100,1)&amp;" %"</f>
        <v>0 c. 0 %</v>
      </c>
      <c r="P182" s="123" t="str">
        <f>VLOOKUP(D182,Poeng!$B$10:$BG$251,Poeng!BG$1,FALSE)</f>
        <v>N/A</v>
      </c>
      <c r="Q182" s="755"/>
      <c r="R182" s="756"/>
      <c r="S182" s="749"/>
      <c r="T182" s="319"/>
      <c r="U182" s="1015"/>
      <c r="V182" s="891" t="str">
        <f>VLOOKUP(D182,Poeng!$B$10:$BB$251,Poeng!AJ$1,FALSE)&amp;" c. "&amp;ROUND(VLOOKUP(D182,Poeng!$B$10:$BB$251,Poeng!AF$1,FALSE)*100,1)&amp;" %"</f>
        <v>0 c. 0 %</v>
      </c>
      <c r="W182" s="123" t="str">
        <f>VLOOKUP(D182,Poeng!$B$10:$BJ$251,Poeng!BJ$1,FALSE)</f>
        <v>N/A</v>
      </c>
      <c r="X182" s="81"/>
      <c r="Y182" s="80"/>
      <c r="Z182" s="749"/>
      <c r="AA182" s="133"/>
      <c r="AB182" s="725"/>
      <c r="AC182" s="107">
        <f t="shared" si="20"/>
        <v>1</v>
      </c>
      <c r="AD182" s="3" t="e">
        <f>VLOOKUP(K182,'Assessment Details'!$O$45:$P$48,2,FALSE)</f>
        <v>#N/A</v>
      </c>
      <c r="AE182" s="3" t="e">
        <f>VLOOKUP(R182,'Assessment Details'!$O$45:$P$48,2,FALSE)</f>
        <v>#N/A</v>
      </c>
      <c r="AF182" s="3" t="e">
        <f>VLOOKUP(Y182,'Assessment Details'!$O$45:$P$48,2,FALSE)</f>
        <v>#N/A</v>
      </c>
      <c r="AI182" s="70"/>
      <c r="AJ182" s="679"/>
      <c r="AK182" s="70"/>
      <c r="AL182" s="70"/>
      <c r="AM182" s="70"/>
      <c r="AN182" s="70"/>
      <c r="AO182" s="70"/>
      <c r="AP182" s="70"/>
      <c r="AS182" s="23"/>
      <c r="AT182" s="23"/>
      <c r="AU182" s="23"/>
      <c r="AV182" s="23"/>
      <c r="AW182" s="23"/>
      <c r="AX182" s="23"/>
      <c r="AZ182" s="725"/>
    </row>
    <row r="183" spans="1:52" x14ac:dyDescent="0.25">
      <c r="A183" s="1091">
        <v>174</v>
      </c>
      <c r="B183" s="1092" t="s">
        <v>72</v>
      </c>
      <c r="C183" s="1097" t="str">
        <f t="shared" si="18"/>
        <v>LE 07</v>
      </c>
      <c r="D183" s="837" t="s">
        <v>815</v>
      </c>
      <c r="E183" s="875" t="str">
        <f>VLOOKUP(D183,Poeng!$B$10:$Q$251,Poeng!D$1,FALSE)</f>
        <v>Pre-requisite: flood risk assessment</v>
      </c>
      <c r="F183" s="122" t="str">
        <f>VLOOKUP(D183,Poeng!$B$10:$AA$251,Poeng!AA$1,FALSE)</f>
        <v>Yes/No</v>
      </c>
      <c r="G183" s="43"/>
      <c r="H183" s="123" t="str">
        <f>VLOOKUP(D183,Poeng!$B$10:$AD$251,Poeng!AD$1,FALSE)</f>
        <v>-</v>
      </c>
      <c r="I183" s="124" t="str">
        <f>VLOOKUP(D183,Poeng!$B$10:$BD$251,Poeng!BD$1,FALSE)</f>
        <v>N/A</v>
      </c>
      <c r="J183" s="80"/>
      <c r="K183" s="281"/>
      <c r="L183" s="809"/>
      <c r="M183" s="829"/>
      <c r="N183" s="83"/>
      <c r="O183" s="123" t="str">
        <f>VLOOKUP(D183,Poeng!$B$10:$BB$251,Poeng!AE$1,FALSE)</f>
        <v>-</v>
      </c>
      <c r="P183" s="123" t="str">
        <f>VLOOKUP(D183,Poeng!$B$10:$BG$251,Poeng!BG$1,FALSE)</f>
        <v>N/A</v>
      </c>
      <c r="Q183" s="755"/>
      <c r="R183" s="756"/>
      <c r="S183" s="749"/>
      <c r="T183" s="319"/>
      <c r="U183" s="83"/>
      <c r="V183" s="123" t="str">
        <f>VLOOKUP(D183,Poeng!$B$10:$BB$251,Poeng!AF$1,FALSE)</f>
        <v>-</v>
      </c>
      <c r="W183" s="123" t="str">
        <f>VLOOKUP(D183,Poeng!$B$10:$BJ$251,Poeng!BJ$1,FALSE)</f>
        <v>N/A</v>
      </c>
      <c r="X183" s="81"/>
      <c r="Y183" s="80"/>
      <c r="Z183" s="749"/>
      <c r="AA183" s="133"/>
      <c r="AB183" s="725"/>
      <c r="AC183" s="107">
        <f t="shared" si="20"/>
        <v>1</v>
      </c>
      <c r="AD183" s="3" t="e">
        <f>VLOOKUP(K183,'Assessment Details'!$O$45:$P$48,2,FALSE)</f>
        <v>#N/A</v>
      </c>
      <c r="AE183" s="3" t="e">
        <f>VLOOKUP(R183,'Assessment Details'!$O$45:$P$48,2,FALSE)</f>
        <v>#N/A</v>
      </c>
      <c r="AF183" s="3" t="e">
        <f>VLOOKUP(Y183,'Assessment Details'!$O$45:$P$48,2,FALSE)</f>
        <v>#N/A</v>
      </c>
      <c r="AI183" s="70"/>
      <c r="AJ183" s="679"/>
      <c r="AK183" s="70"/>
      <c r="AL183" s="70"/>
      <c r="AM183" s="70"/>
      <c r="AN183" s="70"/>
      <c r="AO183" s="70"/>
      <c r="AP183" s="70"/>
      <c r="AS183" s="23"/>
      <c r="AT183" s="23"/>
      <c r="AU183" s="23"/>
      <c r="AV183" s="23"/>
      <c r="AW183" s="23"/>
      <c r="AX183" s="23"/>
      <c r="AZ183" s="725"/>
    </row>
    <row r="184" spans="1:52" x14ac:dyDescent="0.25">
      <c r="A184" s="1091">
        <v>175</v>
      </c>
      <c r="B184" s="1092" t="s">
        <v>72</v>
      </c>
      <c r="C184" s="1097" t="str">
        <f t="shared" si="18"/>
        <v>LE 07</v>
      </c>
      <c r="D184" s="837" t="s">
        <v>816</v>
      </c>
      <c r="E184" s="875" t="str">
        <f>VLOOKUP(D184,Poeng!$B$10:$Q$251,Poeng!D$1,FALSE)</f>
        <v>Resilience against flood and storm surge</v>
      </c>
      <c r="F184" s="122">
        <f>VLOOKUP(D184,Poeng!$B$10:$AA$251,Poeng!AA$1,FALSE)</f>
        <v>2</v>
      </c>
      <c r="G184" s="43"/>
      <c r="H184" s="123">
        <f>VLOOKUP(D184,Poeng!$B$10:$AD$251,Poeng!AD$1,FALSE)</f>
        <v>0</v>
      </c>
      <c r="I184" s="124" t="str">
        <f>VLOOKUP(D184,Poeng!$B$10:$BD$251,Poeng!BD$1,FALSE)</f>
        <v>N/A</v>
      </c>
      <c r="J184" s="80"/>
      <c r="K184" s="281"/>
      <c r="L184" s="809"/>
      <c r="M184" s="829"/>
      <c r="N184" s="83"/>
      <c r="O184" s="123">
        <f>VLOOKUP(D184,Poeng!$B$10:$BB$251,Poeng!AE$1,FALSE)</f>
        <v>0</v>
      </c>
      <c r="P184" s="123" t="str">
        <f>VLOOKUP(D184,Poeng!$B$10:$BG$251,Poeng!BG$1,FALSE)</f>
        <v>N/A</v>
      </c>
      <c r="Q184" s="755"/>
      <c r="R184" s="756"/>
      <c r="S184" s="749"/>
      <c r="T184" s="319"/>
      <c r="U184" s="83"/>
      <c r="V184" s="123">
        <f>VLOOKUP(D184,Poeng!$B$10:$BB$251,Poeng!AF$1,FALSE)</f>
        <v>0</v>
      </c>
      <c r="W184" s="123" t="str">
        <f>VLOOKUP(D184,Poeng!$B$10:$BJ$251,Poeng!BJ$1,FALSE)</f>
        <v>N/A</v>
      </c>
      <c r="X184" s="81"/>
      <c r="Y184" s="80"/>
      <c r="Z184" s="749"/>
      <c r="AA184" s="133"/>
      <c r="AB184" s="725"/>
      <c r="AC184" s="107">
        <f t="shared" si="20"/>
        <v>1</v>
      </c>
      <c r="AD184" s="3" t="e">
        <f>VLOOKUP(K184,'Assessment Details'!$O$45:$P$48,2,FALSE)</f>
        <v>#N/A</v>
      </c>
      <c r="AE184" s="3" t="e">
        <f>VLOOKUP(R184,'Assessment Details'!$O$45:$P$48,2,FALSE)</f>
        <v>#N/A</v>
      </c>
      <c r="AF184" s="3" t="e">
        <f>VLOOKUP(Y184,'Assessment Details'!$O$45:$P$48,2,FALSE)</f>
        <v>#N/A</v>
      </c>
      <c r="AI184" s="70"/>
      <c r="AJ184" s="679"/>
      <c r="AK184" s="70"/>
      <c r="AL184" s="70"/>
      <c r="AM184" s="70"/>
      <c r="AN184" s="70"/>
      <c r="AO184" s="70"/>
      <c r="AP184" s="70"/>
      <c r="AS184" s="23"/>
      <c r="AT184" s="23"/>
      <c r="AU184" s="23"/>
      <c r="AV184" s="23"/>
      <c r="AW184" s="23"/>
      <c r="AX184" s="23"/>
      <c r="AZ184" s="725"/>
    </row>
    <row r="185" spans="1:52" x14ac:dyDescent="0.25">
      <c r="A185" s="1091">
        <v>176</v>
      </c>
      <c r="B185" s="1092" t="s">
        <v>72</v>
      </c>
      <c r="C185" s="938" t="s">
        <v>484</v>
      </c>
      <c r="D185" s="837" t="s">
        <v>484</v>
      </c>
      <c r="E185" s="874" t="str">
        <f>VLOOKUP(D185,Poeng!$B$10:$Q$251,Poeng!D$1,FALSE)</f>
        <v>LE 08 Local surface water handling</v>
      </c>
      <c r="F185" s="879">
        <f>VLOOKUP(D185,Poeng!$B$10:$AA$251,Poeng!AA$1,FALSE)</f>
        <v>3</v>
      </c>
      <c r="G185" s="1015"/>
      <c r="H185" s="880" t="str">
        <f>VLOOKUP(D185,Poeng!$B$10:$AH$251,Poeng!AH$1,FALSE)&amp;" c. "&amp;ROUND(VLOOKUP(D185,Poeng!$B$10:$AD$251,Poeng!AD$1,FALSE)*100,1)&amp;" %"</f>
        <v>0 c. 0 %</v>
      </c>
      <c r="I185" s="938" t="str">
        <f>VLOOKUP(D185,Poeng!$B$10:$BD$251,Poeng!BD$1,FALSE)</f>
        <v>N/A</v>
      </c>
      <c r="J185" s="80"/>
      <c r="K185" s="281"/>
      <c r="L185" s="809"/>
      <c r="M185" s="829"/>
      <c r="N185" s="1015"/>
      <c r="O185" s="891" t="str">
        <f>VLOOKUP(D185,Poeng!$B$10:$BB$251,Poeng!AI$1,FALSE)&amp;" c. "&amp;ROUND(VLOOKUP(D185,Poeng!$B$10:$BB$251,Poeng!AE$1,FALSE)*100,1)&amp;" %"</f>
        <v>0 c. 0 %</v>
      </c>
      <c r="P185" s="123" t="str">
        <f>VLOOKUP(D185,Poeng!$B$10:$BG$251,Poeng!BG$1,FALSE)</f>
        <v>N/A</v>
      </c>
      <c r="Q185" s="755"/>
      <c r="R185" s="756"/>
      <c r="S185" s="749"/>
      <c r="T185" s="319"/>
      <c r="U185" s="1015"/>
      <c r="V185" s="891" t="str">
        <f>VLOOKUP(D185,Poeng!$B$10:$BB$251,Poeng!AJ$1,FALSE)&amp;" c. "&amp;ROUND(VLOOKUP(D185,Poeng!$B$10:$BB$251,Poeng!AF$1,FALSE)*100,1)&amp;" %"</f>
        <v>0 c. 0 %</v>
      </c>
      <c r="W185" s="123" t="str">
        <f>VLOOKUP(D185,Poeng!$B$10:$BJ$251,Poeng!BJ$1,FALSE)</f>
        <v>N/A</v>
      </c>
      <c r="X185" s="81"/>
      <c r="Y185" s="80"/>
      <c r="Z185" s="749"/>
      <c r="AA185" s="133"/>
      <c r="AB185" s="725"/>
      <c r="AC185" s="107">
        <f t="shared" si="20"/>
        <v>1</v>
      </c>
      <c r="AD185" s="3" t="e">
        <f>VLOOKUP(K185,'Assessment Details'!$O$45:$P$48,2,FALSE)</f>
        <v>#N/A</v>
      </c>
      <c r="AE185" s="3" t="e">
        <f>VLOOKUP(R185,'Assessment Details'!$O$45:$P$48,2,FALSE)</f>
        <v>#N/A</v>
      </c>
      <c r="AF185" s="3" t="e">
        <f>VLOOKUP(Y185,'Assessment Details'!$O$45:$P$48,2,FALSE)</f>
        <v>#N/A</v>
      </c>
      <c r="AI185" s="70"/>
      <c r="AJ185" s="679"/>
      <c r="AK185" s="70"/>
      <c r="AL185" s="70"/>
      <c r="AM185" s="70"/>
      <c r="AN185" s="70"/>
      <c r="AO185" s="70"/>
      <c r="AP185" s="70"/>
      <c r="AS185" s="23"/>
      <c r="AT185" s="23"/>
      <c r="AU185" s="23"/>
      <c r="AV185" s="23"/>
      <c r="AW185" s="23"/>
      <c r="AX185" s="23"/>
      <c r="AZ185" s="725"/>
    </row>
    <row r="186" spans="1:52" x14ac:dyDescent="0.25">
      <c r="A186" s="1091">
        <v>177</v>
      </c>
      <c r="B186" s="1092" t="s">
        <v>72</v>
      </c>
      <c r="C186" s="1097" t="str">
        <f t="shared" si="18"/>
        <v>LE 08</v>
      </c>
      <c r="D186" s="837" t="s">
        <v>817</v>
      </c>
      <c r="E186" s="875" t="str">
        <f>VLOOKUP(D186,Poeng!$B$10:$Q$251,Poeng!D$1,FALSE)</f>
        <v>Pre-requisite: risk assessment and the "three- step strategy"</v>
      </c>
      <c r="F186" s="122" t="str">
        <f>VLOOKUP(D186,Poeng!$B$10:$AA$251,Poeng!AA$1,FALSE)</f>
        <v>Yes/No</v>
      </c>
      <c r="G186" s="43"/>
      <c r="H186" s="123" t="str">
        <f>VLOOKUP(D186,Poeng!$B$10:$AD$251,Poeng!AD$1,FALSE)</f>
        <v>-</v>
      </c>
      <c r="I186" s="124" t="str">
        <f>VLOOKUP(D186,Poeng!$B$10:$BD$251,Poeng!BD$1,FALSE)</f>
        <v>N/A</v>
      </c>
      <c r="J186" s="80"/>
      <c r="K186" s="281"/>
      <c r="L186" s="809"/>
      <c r="M186" s="829"/>
      <c r="N186" s="83"/>
      <c r="O186" s="123" t="str">
        <f>VLOOKUP(D186,Poeng!$B$10:$BB$251,Poeng!AE$1,FALSE)</f>
        <v>-</v>
      </c>
      <c r="P186" s="123" t="str">
        <f>VLOOKUP(D186,Poeng!$B$10:$BG$251,Poeng!BG$1,FALSE)</f>
        <v>N/A</v>
      </c>
      <c r="Q186" s="755"/>
      <c r="R186" s="756"/>
      <c r="S186" s="749"/>
      <c r="T186" s="319"/>
      <c r="U186" s="83"/>
      <c r="V186" s="123" t="str">
        <f>VLOOKUP(D186,Poeng!$B$10:$BB$251,Poeng!AF$1,FALSE)</f>
        <v>-</v>
      </c>
      <c r="W186" s="123" t="str">
        <f>VLOOKUP(D186,Poeng!$B$10:$BJ$251,Poeng!BJ$1,FALSE)</f>
        <v>N/A</v>
      </c>
      <c r="X186" s="81"/>
      <c r="Y186" s="80"/>
      <c r="Z186" s="749"/>
      <c r="AA186" s="133"/>
      <c r="AB186" s="725"/>
      <c r="AC186" s="107">
        <f t="shared" si="20"/>
        <v>1</v>
      </c>
      <c r="AD186" s="3" t="e">
        <f>VLOOKUP(K186,'Assessment Details'!$O$45:$P$48,2,FALSE)</f>
        <v>#N/A</v>
      </c>
      <c r="AE186" s="3" t="e">
        <f>VLOOKUP(R186,'Assessment Details'!$O$45:$P$48,2,FALSE)</f>
        <v>#N/A</v>
      </c>
      <c r="AF186" s="3" t="e">
        <f>VLOOKUP(Y186,'Assessment Details'!$O$45:$P$48,2,FALSE)</f>
        <v>#N/A</v>
      </c>
      <c r="AI186" s="70"/>
      <c r="AJ186" s="679"/>
      <c r="AK186" s="70"/>
      <c r="AL186" s="70"/>
      <c r="AM186" s="70"/>
      <c r="AN186" s="70"/>
      <c r="AO186" s="70"/>
      <c r="AP186" s="70"/>
      <c r="AS186" s="23"/>
      <c r="AT186" s="23"/>
      <c r="AU186" s="23"/>
      <c r="AV186" s="23"/>
      <c r="AW186" s="23"/>
      <c r="AX186" s="23"/>
      <c r="AZ186" s="725"/>
    </row>
    <row r="187" spans="1:52" x14ac:dyDescent="0.25">
      <c r="A187" s="1091">
        <v>178</v>
      </c>
      <c r="B187" s="1092" t="s">
        <v>72</v>
      </c>
      <c r="C187" s="1097" t="str">
        <f>C186</f>
        <v>LE 08</v>
      </c>
      <c r="D187" s="837" t="s">
        <v>818</v>
      </c>
      <c r="E187" s="875" t="str">
        <f>VLOOKUP(D187,Poeng!$B$10:$Q$251,Poeng!D$1,FALSE)</f>
        <v>5 mm precipitation</v>
      </c>
      <c r="F187" s="122">
        <f>VLOOKUP(D187,Poeng!$B$10:$AA$251,Poeng!AA$1,FALSE)</f>
        <v>1</v>
      </c>
      <c r="G187" s="43"/>
      <c r="H187" s="123">
        <f>VLOOKUP(D187,Poeng!$B$10:$AD$251,Poeng!AD$1,FALSE)</f>
        <v>0</v>
      </c>
      <c r="I187" s="124" t="str">
        <f>VLOOKUP(D187,Poeng!$B$10:$BD$251,Poeng!BD$1,FALSE)</f>
        <v>N/A</v>
      </c>
      <c r="J187" s="80"/>
      <c r="K187" s="281"/>
      <c r="L187" s="809"/>
      <c r="M187" s="829"/>
      <c r="N187" s="83"/>
      <c r="O187" s="123">
        <f>VLOOKUP(D187,Poeng!$B$10:$BB$251,Poeng!AE$1,FALSE)</f>
        <v>0</v>
      </c>
      <c r="P187" s="123" t="str">
        <f>VLOOKUP(D187,Poeng!$B$10:$BG$251,Poeng!BG$1,FALSE)</f>
        <v>N/A</v>
      </c>
      <c r="Q187" s="755"/>
      <c r="R187" s="756"/>
      <c r="S187" s="749"/>
      <c r="T187" s="319"/>
      <c r="U187" s="83"/>
      <c r="V187" s="123">
        <f>VLOOKUP(D187,Poeng!$B$10:$BB$251,Poeng!AF$1,FALSE)</f>
        <v>0</v>
      </c>
      <c r="W187" s="123" t="str">
        <f>VLOOKUP(D187,Poeng!$B$10:$BJ$251,Poeng!BJ$1,FALSE)</f>
        <v>N/A</v>
      </c>
      <c r="X187" s="81"/>
      <c r="Y187" s="80"/>
      <c r="Z187" s="749"/>
      <c r="AA187" s="133"/>
      <c r="AB187" s="725"/>
      <c r="AC187" s="107">
        <f t="shared" si="20"/>
        <v>1</v>
      </c>
      <c r="AD187" s="3" t="e">
        <f>VLOOKUP(K187,'Assessment Details'!$O$45:$P$48,2,FALSE)</f>
        <v>#N/A</v>
      </c>
      <c r="AE187" s="3" t="e">
        <f>VLOOKUP(R187,'Assessment Details'!$O$45:$P$48,2,FALSE)</f>
        <v>#N/A</v>
      </c>
      <c r="AF187" s="3" t="e">
        <f>VLOOKUP(Y187,'Assessment Details'!$O$45:$P$48,2,FALSE)</f>
        <v>#N/A</v>
      </c>
      <c r="AI187" s="70"/>
      <c r="AJ187" s="679"/>
      <c r="AK187" s="70"/>
      <c r="AL187" s="70"/>
      <c r="AM187" s="70"/>
      <c r="AN187" s="70"/>
      <c r="AO187" s="70"/>
      <c r="AP187" s="70"/>
      <c r="AS187" s="23"/>
      <c r="AT187" s="23"/>
      <c r="AU187" s="23"/>
      <c r="AV187" s="23"/>
      <c r="AW187" s="23"/>
      <c r="AX187" s="23"/>
      <c r="AZ187" s="725"/>
    </row>
    <row r="188" spans="1:52" x14ac:dyDescent="0.25">
      <c r="A188" s="1091">
        <v>179</v>
      </c>
      <c r="B188" s="1092" t="s">
        <v>72</v>
      </c>
      <c r="C188" s="1097" t="str">
        <f>C186</f>
        <v>LE 08</v>
      </c>
      <c r="D188" s="837" t="s">
        <v>819</v>
      </c>
      <c r="E188" s="875" t="str">
        <f>VLOOKUP(D188,Poeng!$B$10:$Q$251,Poeng!D$1,FALSE)</f>
        <v>Maximum run-off</v>
      </c>
      <c r="F188" s="122">
        <f>VLOOKUP(D188,Poeng!$B$10:$AA$251,Poeng!AA$1,FALSE)</f>
        <v>1</v>
      </c>
      <c r="G188" s="43"/>
      <c r="H188" s="123">
        <f>VLOOKUP(D188,Poeng!$B$10:$AD$251,Poeng!AD$1,FALSE)</f>
        <v>0</v>
      </c>
      <c r="I188" s="124" t="str">
        <f>VLOOKUP(D188,Poeng!$B$10:$BD$251,Poeng!BD$1,FALSE)</f>
        <v>N/A</v>
      </c>
      <c r="J188" s="80"/>
      <c r="K188" s="281"/>
      <c r="L188" s="809"/>
      <c r="M188" s="829"/>
      <c r="N188" s="83"/>
      <c r="O188" s="123">
        <f>VLOOKUP(D188,Poeng!$B$10:$BB$251,Poeng!AE$1,FALSE)</f>
        <v>0</v>
      </c>
      <c r="P188" s="123" t="str">
        <f>VLOOKUP(D188,Poeng!$B$10:$BG$251,Poeng!BG$1,FALSE)</f>
        <v>N/A</v>
      </c>
      <c r="Q188" s="755"/>
      <c r="R188" s="756"/>
      <c r="S188" s="749"/>
      <c r="T188" s="319"/>
      <c r="U188" s="83"/>
      <c r="V188" s="123">
        <f>VLOOKUP(D188,Poeng!$B$10:$BB$251,Poeng!AF$1,FALSE)</f>
        <v>0</v>
      </c>
      <c r="W188" s="123" t="str">
        <f>VLOOKUP(D188,Poeng!$B$10:$BJ$251,Poeng!BJ$1,FALSE)</f>
        <v>N/A</v>
      </c>
      <c r="X188" s="81"/>
      <c r="Y188" s="80"/>
      <c r="Z188" s="749"/>
      <c r="AA188" s="133"/>
      <c r="AB188" s="725"/>
      <c r="AC188" s="107">
        <f t="shared" ref="AC188" si="27">IF(F188="",1,IF(F188=0,2,1))</f>
        <v>1</v>
      </c>
      <c r="AD188" s="3" t="e">
        <f>VLOOKUP(K188,'Assessment Details'!$O$45:$P$48,2,FALSE)</f>
        <v>#N/A</v>
      </c>
      <c r="AE188" s="3" t="e">
        <f>VLOOKUP(R188,'Assessment Details'!$O$45:$P$48,2,FALSE)</f>
        <v>#N/A</v>
      </c>
      <c r="AF188" s="3" t="e">
        <f>VLOOKUP(Y188,'Assessment Details'!$O$45:$P$48,2,FALSE)</f>
        <v>#N/A</v>
      </c>
      <c r="AI188" s="70"/>
      <c r="AJ188" s="679"/>
      <c r="AK188" s="70"/>
      <c r="AL188" s="70"/>
      <c r="AM188" s="70"/>
      <c r="AN188" s="70"/>
      <c r="AO188" s="70"/>
      <c r="AP188" s="70"/>
      <c r="AS188" s="23"/>
      <c r="AT188" s="23"/>
      <c r="AU188" s="23"/>
      <c r="AV188" s="23"/>
      <c r="AW188" s="23"/>
      <c r="AX188" s="23"/>
      <c r="AZ188" s="725"/>
    </row>
    <row r="189" spans="1:52" x14ac:dyDescent="0.25">
      <c r="A189" s="1091">
        <v>180</v>
      </c>
      <c r="B189" s="1092" t="s">
        <v>72</v>
      </c>
      <c r="C189" s="1097" t="str">
        <f>C187</f>
        <v>LE 08</v>
      </c>
      <c r="D189" s="837" t="s">
        <v>966</v>
      </c>
      <c r="E189" s="875" t="str">
        <f>VLOOKUP(D189,Poeng!$B$10:$Q$251,Poeng!D$1,FALSE)</f>
        <v>Measures for surface-based water management</v>
      </c>
      <c r="F189" s="122">
        <f>VLOOKUP(D189,Poeng!$B$10:$AA$251,Poeng!AA$1,FALSE)</f>
        <v>1</v>
      </c>
      <c r="G189" s="43"/>
      <c r="H189" s="123">
        <f>VLOOKUP(D189,Poeng!$B$10:$AD$251,Poeng!AD$1,FALSE)</f>
        <v>0</v>
      </c>
      <c r="I189" s="124" t="str">
        <f>VLOOKUP(D189,Poeng!$B$10:$BD$251,Poeng!BD$1,FALSE)</f>
        <v>N/A</v>
      </c>
      <c r="J189" s="80"/>
      <c r="K189" s="281"/>
      <c r="L189" s="809"/>
      <c r="M189" s="829"/>
      <c r="N189" s="83"/>
      <c r="O189" s="123">
        <f>VLOOKUP(D189,Poeng!$B$10:$BB$251,Poeng!AE$1,FALSE)</f>
        <v>0</v>
      </c>
      <c r="P189" s="123" t="str">
        <f>VLOOKUP(D189,Poeng!$B$10:$BG$251,Poeng!BG$1,FALSE)</f>
        <v>N/A</v>
      </c>
      <c r="Q189" s="755"/>
      <c r="R189" s="756"/>
      <c r="S189" s="749"/>
      <c r="T189" s="319"/>
      <c r="U189" s="83"/>
      <c r="V189" s="123">
        <f>VLOOKUP(D189,Poeng!$B$10:$BB$251,Poeng!AF$1,FALSE)</f>
        <v>0</v>
      </c>
      <c r="W189" s="123" t="str">
        <f>VLOOKUP(D189,Poeng!$B$10:$BJ$251,Poeng!BJ$1,FALSE)</f>
        <v>N/A</v>
      </c>
      <c r="X189" s="81"/>
      <c r="Y189" s="80"/>
      <c r="Z189" s="749"/>
      <c r="AA189" s="133"/>
      <c r="AB189" s="725"/>
      <c r="AC189" s="107">
        <f t="shared" si="20"/>
        <v>1</v>
      </c>
      <c r="AD189" s="3" t="e">
        <f>VLOOKUP(K189,'Assessment Details'!$O$45:$P$48,2,FALSE)</f>
        <v>#N/A</v>
      </c>
      <c r="AE189" s="3" t="e">
        <f>VLOOKUP(R189,'Assessment Details'!$O$45:$P$48,2,FALSE)</f>
        <v>#N/A</v>
      </c>
      <c r="AF189" s="3" t="e">
        <f>VLOOKUP(Y189,'Assessment Details'!$O$45:$P$48,2,FALSE)</f>
        <v>#N/A</v>
      </c>
      <c r="AI189" s="70"/>
      <c r="AJ189" s="679"/>
      <c r="AK189" s="70"/>
      <c r="AL189" s="70"/>
      <c r="AM189" s="70"/>
      <c r="AN189" s="70"/>
      <c r="AO189" s="70"/>
      <c r="AP189" s="70"/>
      <c r="AS189" s="23"/>
      <c r="AT189" s="23"/>
      <c r="AU189" s="23"/>
      <c r="AV189" s="23"/>
      <c r="AW189" s="23"/>
      <c r="AX189" s="23"/>
      <c r="AZ189" s="725"/>
    </row>
    <row r="190" spans="1:52" ht="15.75" thickBot="1" x14ac:dyDescent="0.3">
      <c r="A190" s="1091">
        <v>181</v>
      </c>
      <c r="B190" s="1092" t="s">
        <v>72</v>
      </c>
      <c r="C190" s="1104"/>
      <c r="D190" s="837" t="s">
        <v>893</v>
      </c>
      <c r="E190" s="341" t="s">
        <v>112</v>
      </c>
      <c r="F190" s="125">
        <f>LE_Credits</f>
        <v>19</v>
      </c>
      <c r="G190" s="131"/>
      <c r="H190" s="126">
        <f>LE_cont_tot</f>
        <v>0</v>
      </c>
      <c r="I190" s="881" t="str">
        <f>"Credits achieved: "&amp;Lue_tot_user</f>
        <v>Credits achieved: 0</v>
      </c>
      <c r="J190" s="134"/>
      <c r="K190" s="282"/>
      <c r="L190" s="757"/>
      <c r="M190" s="829"/>
      <c r="N190" s="383"/>
      <c r="O190" s="126">
        <f>VLOOKUP(D190,Poeng!$B$10:$BB$251,Poeng!AE$1,FALSE)</f>
        <v>0</v>
      </c>
      <c r="P190" s="881" t="str">
        <f>"Credits achieved: "&amp;Lue_d_user</f>
        <v>Credits achieved: 0</v>
      </c>
      <c r="Q190" s="758"/>
      <c r="R190" s="759"/>
      <c r="S190" s="757"/>
      <c r="T190" s="319"/>
      <c r="U190" s="383"/>
      <c r="V190" s="126">
        <f>VLOOKUP(D190,Poeng!$B$10:$BB$251,Poeng!AF$1,FALSE)</f>
        <v>0</v>
      </c>
      <c r="W190" s="881" t="str">
        <f>"Credits achieved: "&amp;Lue_c_user</f>
        <v>Credits achieved: 0</v>
      </c>
      <c r="X190" s="382"/>
      <c r="Y190" s="136"/>
      <c r="Z190" s="757"/>
      <c r="AA190" s="133"/>
      <c r="AB190" s="649"/>
      <c r="AC190" s="107">
        <f t="shared" si="20"/>
        <v>1</v>
      </c>
      <c r="AD190" s="276">
        <v>0</v>
      </c>
      <c r="AE190" s="276">
        <v>0</v>
      </c>
      <c r="AF190" s="276">
        <v>0</v>
      </c>
      <c r="AI190" s="70"/>
      <c r="AJ190" s="679" t="s">
        <v>112</v>
      </c>
      <c r="AK190" s="70"/>
      <c r="AL190" s="70"/>
      <c r="AM190" s="70"/>
      <c r="AN190" s="70"/>
      <c r="AO190" s="70"/>
      <c r="AP190" s="70"/>
      <c r="AS190" s="23" t="str">
        <f t="shared" si="23"/>
        <v>N/A</v>
      </c>
      <c r="AT190" s="23" t="str">
        <f t="shared" si="24"/>
        <v>N/A</v>
      </c>
      <c r="AU190" s="23" t="str">
        <f t="shared" si="25"/>
        <v>N/A</v>
      </c>
      <c r="AV190" s="23"/>
      <c r="AW190" s="23"/>
      <c r="AX190" s="23"/>
      <c r="AZ190" s="649"/>
    </row>
    <row r="191" spans="1:52" x14ac:dyDescent="0.25">
      <c r="A191" s="1091">
        <v>182</v>
      </c>
      <c r="B191" s="1092" t="s">
        <v>72</v>
      </c>
      <c r="C191" s="322"/>
      <c r="D191" s="837"/>
      <c r="E191" s="321"/>
      <c r="F191" s="322"/>
      <c r="G191" s="323"/>
      <c r="H191" s="322"/>
      <c r="I191" s="322"/>
      <c r="J191" s="324"/>
      <c r="K191" s="323"/>
      <c r="L191" s="760"/>
      <c r="M191" s="828"/>
      <c r="N191" s="325"/>
      <c r="O191" s="325"/>
      <c r="P191" s="760"/>
      <c r="Q191" s="760"/>
      <c r="R191" s="761"/>
      <c r="S191" s="1109"/>
      <c r="T191" s="326"/>
      <c r="U191" s="325"/>
      <c r="V191" s="325"/>
      <c r="W191" s="760"/>
      <c r="X191" s="324"/>
      <c r="Y191" s="325"/>
      <c r="Z191" s="1109"/>
      <c r="AA191" s="710"/>
      <c r="AB191" s="324"/>
      <c r="AC191" s="107">
        <f t="shared" si="20"/>
        <v>1</v>
      </c>
      <c r="AD191" s="278">
        <v>0</v>
      </c>
      <c r="AE191" s="278">
        <v>0</v>
      </c>
      <c r="AF191" s="278">
        <v>0</v>
      </c>
      <c r="AI191" s="70"/>
      <c r="AJ191" s="679"/>
      <c r="AK191" s="70"/>
      <c r="AL191" s="70"/>
      <c r="AM191" s="70"/>
      <c r="AN191" s="70"/>
      <c r="AO191" s="70"/>
      <c r="AP191" s="70"/>
      <c r="AS191" s="23" t="str">
        <f t="shared" si="23"/>
        <v>N/A</v>
      </c>
      <c r="AT191" s="23" t="str">
        <f t="shared" si="24"/>
        <v>N/A</v>
      </c>
      <c r="AU191" s="23" t="str">
        <f t="shared" si="25"/>
        <v>N/A</v>
      </c>
      <c r="AV191" s="23"/>
      <c r="AW191" s="23"/>
      <c r="AX191" s="23"/>
      <c r="AZ191" s="324"/>
    </row>
    <row r="192" spans="1:52" ht="18.75" x14ac:dyDescent="0.25">
      <c r="A192" s="1091">
        <v>183</v>
      </c>
      <c r="B192" s="1092" t="s">
        <v>73</v>
      </c>
      <c r="C192" s="1099"/>
      <c r="D192" s="837"/>
      <c r="E192" s="327" t="s">
        <v>60</v>
      </c>
      <c r="F192" s="315"/>
      <c r="G192" s="316"/>
      <c r="H192" s="336"/>
      <c r="I192" s="315"/>
      <c r="J192" s="328"/>
      <c r="K192" s="329"/>
      <c r="L192" s="763"/>
      <c r="M192" s="829"/>
      <c r="N192" s="339"/>
      <c r="O192" s="332"/>
      <c r="P192" s="753"/>
      <c r="Q192" s="764"/>
      <c r="R192" s="765"/>
      <c r="S192" s="766"/>
      <c r="T192" s="319"/>
      <c r="U192" s="339"/>
      <c r="V192" s="338"/>
      <c r="W192" s="753"/>
      <c r="X192" s="328"/>
      <c r="Y192" s="338"/>
      <c r="Z192" s="763"/>
      <c r="AA192" s="133"/>
      <c r="AB192" s="337"/>
      <c r="AC192" s="107">
        <f t="shared" si="20"/>
        <v>1</v>
      </c>
      <c r="AD192" s="275">
        <v>0</v>
      </c>
      <c r="AE192" s="275">
        <v>0</v>
      </c>
      <c r="AF192" s="275">
        <v>0</v>
      </c>
      <c r="AI192" s="70"/>
      <c r="AJ192" s="679" t="s">
        <v>60</v>
      </c>
      <c r="AK192" s="70"/>
      <c r="AL192" s="70"/>
      <c r="AM192" s="70"/>
      <c r="AN192" s="70"/>
      <c r="AO192" s="70"/>
      <c r="AP192" s="70"/>
      <c r="AS192" s="23" t="str">
        <f t="shared" si="23"/>
        <v>N/A</v>
      </c>
      <c r="AT192" s="23" t="str">
        <f t="shared" si="24"/>
        <v>N/A</v>
      </c>
      <c r="AU192" s="23" t="str">
        <f t="shared" si="25"/>
        <v>N/A</v>
      </c>
      <c r="AV192" s="23"/>
      <c r="AW192" s="23"/>
      <c r="AX192" s="23"/>
      <c r="AZ192" s="337"/>
    </row>
    <row r="193" spans="1:52" x14ac:dyDescent="0.25">
      <c r="A193" s="1091">
        <v>184</v>
      </c>
      <c r="B193" s="1092" t="s">
        <v>73</v>
      </c>
      <c r="C193" s="938" t="s">
        <v>187</v>
      </c>
      <c r="D193" s="837" t="s">
        <v>187</v>
      </c>
      <c r="E193" s="874" t="str">
        <f>VLOOKUP(D193,Poeng!$B$10:$Q$251,Poeng!D$1,FALSE)</f>
        <v>POL 01 Impacts of refrigerants</v>
      </c>
      <c r="F193" s="879">
        <f>VLOOKUP(D193,Poeng!$B$10:$AA$251,Poeng!AA$1,FALSE)</f>
        <v>3</v>
      </c>
      <c r="G193" s="1014"/>
      <c r="H193" s="880" t="str">
        <f>VLOOKUP(D193,Poeng!$B$10:$AH$251,Poeng!AH$1,FALSE)&amp;" c. "&amp;ROUND(VLOOKUP(D193,Poeng!$B$10:$AD$251,Poeng!AD$1,FALSE)*100,1)&amp;" %"</f>
        <v>0 c. 0 %</v>
      </c>
      <c r="I193" s="937" t="str">
        <f>VLOOKUP(D193,Poeng!$B$10:$BD$251,Poeng!BD$1,FALSE)</f>
        <v>N/A</v>
      </c>
      <c r="J193" s="888"/>
      <c r="K193" s="889"/>
      <c r="L193" s="890"/>
      <c r="M193" s="828"/>
      <c r="N193" s="1015"/>
      <c r="O193" s="1108" t="str">
        <f>VLOOKUP(D193,Poeng!$B$10:$BB$251,Poeng!AI$1,FALSE)&amp;" c. "&amp;ROUND(VLOOKUP(D193,Poeng!$B$10:$BB$251,Poeng!AE$1,FALSE)*100,1)&amp;" %"</f>
        <v>0 c. 0 %</v>
      </c>
      <c r="P193" s="123" t="str">
        <f>VLOOKUP(D193,Poeng!$B$10:$BG$251,Poeng!BG$1,FALSE)</f>
        <v>N/A</v>
      </c>
      <c r="Q193" s="755"/>
      <c r="R193" s="756"/>
      <c r="S193" s="749"/>
      <c r="T193" s="319"/>
      <c r="U193" s="1015"/>
      <c r="V193" s="891" t="str">
        <f>VLOOKUP(D193,Poeng!$B$10:$BB$251,Poeng!AJ$1,FALSE)&amp;" c. "&amp;ROUND(VLOOKUP(D193,Poeng!$B$10:$BB$251,Poeng!AF$1,FALSE)*100,1)&amp;" %"</f>
        <v>0 c. 0 %</v>
      </c>
      <c r="W193" s="123" t="str">
        <f>VLOOKUP(D193,Poeng!$B$10:$BJ$251,Poeng!BJ$1,FALSE)</f>
        <v>N/A</v>
      </c>
      <c r="X193" s="81"/>
      <c r="Y193" s="80"/>
      <c r="Z193" s="749"/>
      <c r="AA193" s="133"/>
      <c r="AB193" s="648" t="s">
        <v>14</v>
      </c>
      <c r="AC193" s="107">
        <f t="shared" si="20"/>
        <v>1</v>
      </c>
      <c r="AD193" s="3" t="e">
        <f>VLOOKUP(K193,'Assessment Details'!$O$45:$P$48,2,FALSE)</f>
        <v>#N/A</v>
      </c>
      <c r="AE193" s="3" t="e">
        <f>VLOOKUP(R193,'Assessment Details'!$O$45:$P$48,2,FALSE)</f>
        <v>#N/A</v>
      </c>
      <c r="AF193" s="3" t="e">
        <f>VLOOKUP(Y193,'Assessment Details'!$O$45:$P$48,2,FALSE)</f>
        <v>#N/A</v>
      </c>
      <c r="AI193" s="70" t="str">
        <f>ais_yes</f>
        <v>Ja</v>
      </c>
      <c r="AJ193" s="679" t="s">
        <v>166</v>
      </c>
      <c r="AK193" s="656" t="s">
        <v>408</v>
      </c>
      <c r="AL193" s="656" t="s">
        <v>412</v>
      </c>
      <c r="AM193" s="656" t="s">
        <v>410</v>
      </c>
      <c r="AN193" s="662" t="s">
        <v>413</v>
      </c>
      <c r="AO193" s="70"/>
      <c r="AP193" s="70"/>
      <c r="AR193" s="1" t="s">
        <v>14</v>
      </c>
      <c r="AS193" s="23" t="str">
        <f t="shared" si="23"/>
        <v>N/A</v>
      </c>
      <c r="AT193" s="23" t="str">
        <f t="shared" si="24"/>
        <v>N/A</v>
      </c>
      <c r="AU193" s="23" t="str">
        <f t="shared" si="25"/>
        <v>N/A</v>
      </c>
      <c r="AV193" s="23" t="str">
        <f t="shared" si="25"/>
        <v>N/A</v>
      </c>
      <c r="AW193" s="23"/>
      <c r="AX193" s="23"/>
      <c r="AZ193" s="648"/>
    </row>
    <row r="194" spans="1:52" x14ac:dyDescent="0.25">
      <c r="A194" s="1091">
        <v>185</v>
      </c>
      <c r="B194" s="1092" t="s">
        <v>73</v>
      </c>
      <c r="C194" s="1097" t="str">
        <f t="shared" si="18"/>
        <v>POL 01</v>
      </c>
      <c r="D194" s="837" t="s">
        <v>820</v>
      </c>
      <c r="E194" s="875" t="str">
        <f>VLOOKUP(D194,Poeng!$B$10:$Q$251,Poeng!D$1,FALSE)</f>
        <v>No refrigerants in the building</v>
      </c>
      <c r="F194" s="122">
        <f>VLOOKUP(D194,Poeng!$B$10:$AA$251,Poeng!AA$1,FALSE)</f>
        <v>3</v>
      </c>
      <c r="G194" s="43"/>
      <c r="H194" s="123">
        <f>VLOOKUP(D194,Poeng!$B$10:$AD$251,Poeng!AD$1,FALSE)</f>
        <v>0</v>
      </c>
      <c r="I194" s="124" t="str">
        <f>VLOOKUP(D194,Poeng!$B$10:$BD$251,Poeng!BD$1,FALSE)</f>
        <v>N/A</v>
      </c>
      <c r="J194" s="80"/>
      <c r="K194" s="281"/>
      <c r="L194" s="809"/>
      <c r="M194" s="829"/>
      <c r="N194" s="83"/>
      <c r="O194" s="123">
        <f>VLOOKUP(D194,Poeng!$B$10:$BB$251,Poeng!AE$1,FALSE)</f>
        <v>0</v>
      </c>
      <c r="P194" s="123" t="str">
        <f>VLOOKUP(D194,Poeng!$B$10:$BG$251,Poeng!BG$1,FALSE)</f>
        <v>N/A</v>
      </c>
      <c r="Q194" s="755"/>
      <c r="R194" s="756"/>
      <c r="S194" s="749"/>
      <c r="T194" s="319"/>
      <c r="U194" s="83"/>
      <c r="V194" s="123">
        <f>VLOOKUP(D194,Poeng!$B$10:$BB$251,Poeng!AF$1,FALSE)</f>
        <v>0</v>
      </c>
      <c r="W194" s="123" t="str">
        <f>VLOOKUP(D194,Poeng!$B$10:$BJ$251,Poeng!BJ$1,FALSE)</f>
        <v>N/A</v>
      </c>
      <c r="X194" s="81"/>
      <c r="Y194" s="80"/>
      <c r="Z194" s="749"/>
      <c r="AA194" s="133"/>
      <c r="AB194" s="648"/>
      <c r="AC194" s="107">
        <f t="shared" si="20"/>
        <v>1</v>
      </c>
      <c r="AD194" s="3" t="e">
        <f>VLOOKUP(K194,'Assessment Details'!$O$45:$P$48,2,FALSE)</f>
        <v>#N/A</v>
      </c>
      <c r="AE194" s="3" t="e">
        <f>VLOOKUP(R194,'Assessment Details'!$O$45:$P$48,2,FALSE)</f>
        <v>#N/A</v>
      </c>
      <c r="AF194" s="3" t="e">
        <f>VLOOKUP(Y194,'Assessment Details'!$O$45:$P$48,2,FALSE)</f>
        <v>#N/A</v>
      </c>
      <c r="AI194" s="70"/>
      <c r="AJ194" s="679"/>
      <c r="AK194" s="656"/>
      <c r="AL194" s="656"/>
      <c r="AM194" s="656"/>
      <c r="AN194" s="662"/>
      <c r="AO194" s="70"/>
      <c r="AP194" s="70"/>
      <c r="AS194" s="23"/>
      <c r="AT194" s="23"/>
      <c r="AU194" s="23"/>
      <c r="AV194" s="23"/>
      <c r="AW194" s="23"/>
      <c r="AX194" s="23"/>
      <c r="AZ194" s="648"/>
    </row>
    <row r="195" spans="1:52" x14ac:dyDescent="0.25">
      <c r="A195" s="1091">
        <v>186</v>
      </c>
      <c r="B195" s="1092" t="s">
        <v>73</v>
      </c>
      <c r="C195" s="1097" t="str">
        <f t="shared" si="18"/>
        <v>POL 01</v>
      </c>
      <c r="D195" s="837" t="s">
        <v>821</v>
      </c>
      <c r="E195" s="875" t="str">
        <f>VLOOKUP(D195,Poeng!$B$10:$Q$251,Poeng!D$1,FALSE)</f>
        <v>Pre-requisite: impact of refrigerants</v>
      </c>
      <c r="F195" s="122">
        <f>VLOOKUP(D195,Poeng!$B$10:$AA$251,Poeng!AA$1,FALSE)</f>
        <v>0</v>
      </c>
      <c r="G195" s="43"/>
      <c r="H195" s="123" t="str">
        <f>VLOOKUP(D195,Poeng!$B$10:$AD$251,Poeng!AD$1,FALSE)</f>
        <v>-</v>
      </c>
      <c r="I195" s="124" t="str">
        <f>VLOOKUP(D195,Poeng!$B$10:$BD$251,Poeng!BD$1,FALSE)</f>
        <v>N/A</v>
      </c>
      <c r="J195" s="80"/>
      <c r="K195" s="281"/>
      <c r="L195" s="809"/>
      <c r="M195" s="829"/>
      <c r="N195" s="83"/>
      <c r="O195" s="123" t="str">
        <f>VLOOKUP(D195,Poeng!$B$10:$BB$251,Poeng!AE$1,FALSE)</f>
        <v>-</v>
      </c>
      <c r="P195" s="123" t="str">
        <f>VLOOKUP(D195,Poeng!$B$10:$BG$251,Poeng!BG$1,FALSE)</f>
        <v>N/A</v>
      </c>
      <c r="Q195" s="755"/>
      <c r="R195" s="756"/>
      <c r="S195" s="749"/>
      <c r="T195" s="319"/>
      <c r="U195" s="83"/>
      <c r="V195" s="123" t="str">
        <f>VLOOKUP(D195,Poeng!$B$10:$BB$251,Poeng!AF$1,FALSE)</f>
        <v>-</v>
      </c>
      <c r="W195" s="123" t="str">
        <f>VLOOKUP(D195,Poeng!$B$10:$BJ$251,Poeng!BJ$1,FALSE)</f>
        <v>N/A</v>
      </c>
      <c r="X195" s="81"/>
      <c r="Y195" s="80"/>
      <c r="Z195" s="749"/>
      <c r="AA195" s="133"/>
      <c r="AB195" s="648"/>
      <c r="AC195" s="107">
        <f t="shared" si="20"/>
        <v>2</v>
      </c>
      <c r="AD195" s="3" t="e">
        <f>VLOOKUP(K195,'Assessment Details'!$O$45:$P$48,2,FALSE)</f>
        <v>#N/A</v>
      </c>
      <c r="AE195" s="3" t="e">
        <f>VLOOKUP(R195,'Assessment Details'!$O$45:$P$48,2,FALSE)</f>
        <v>#N/A</v>
      </c>
      <c r="AF195" s="3" t="e">
        <f>VLOOKUP(Y195,'Assessment Details'!$O$45:$P$48,2,FALSE)</f>
        <v>#N/A</v>
      </c>
      <c r="AI195" s="70"/>
      <c r="AJ195" s="679"/>
      <c r="AK195" s="656"/>
      <c r="AL195" s="656"/>
      <c r="AM195" s="656"/>
      <c r="AN195" s="662"/>
      <c r="AO195" s="70"/>
      <c r="AP195" s="70"/>
      <c r="AS195" s="23"/>
      <c r="AT195" s="23"/>
      <c r="AU195" s="23"/>
      <c r="AV195" s="23"/>
      <c r="AW195" s="23"/>
      <c r="AX195" s="23"/>
      <c r="AZ195" s="648"/>
    </row>
    <row r="196" spans="1:52" x14ac:dyDescent="0.25">
      <c r="A196" s="1091">
        <v>187</v>
      </c>
      <c r="B196" s="1092" t="s">
        <v>73</v>
      </c>
      <c r="C196" s="1097" t="str">
        <f t="shared" si="18"/>
        <v>POL 01</v>
      </c>
      <c r="D196" s="837" t="s">
        <v>822</v>
      </c>
      <c r="E196" s="875" t="str">
        <f>VLOOKUP(D196,Poeng!$B$10:$Q$251,Poeng!D$1,FALSE)</f>
        <v>Impact of refrigerants</v>
      </c>
      <c r="F196" s="122">
        <f>VLOOKUP(D196,Poeng!$B$10:$AA$251,Poeng!AA$1,FALSE)</f>
        <v>0</v>
      </c>
      <c r="G196" s="43"/>
      <c r="H196" s="123">
        <f>VLOOKUP(D196,Poeng!$B$10:$AD$251,Poeng!AD$1,FALSE)</f>
        <v>0</v>
      </c>
      <c r="I196" s="124" t="str">
        <f>VLOOKUP(D196,Poeng!$B$10:$BD$251,Poeng!BD$1,FALSE)</f>
        <v>N/A</v>
      </c>
      <c r="J196" s="80"/>
      <c r="K196" s="281"/>
      <c r="L196" s="809"/>
      <c r="M196" s="829"/>
      <c r="N196" s="83"/>
      <c r="O196" s="123">
        <f>VLOOKUP(D196,Poeng!$B$10:$BB$251,Poeng!AE$1,FALSE)</f>
        <v>0</v>
      </c>
      <c r="P196" s="123" t="str">
        <f>VLOOKUP(D196,Poeng!$B$10:$BG$251,Poeng!BG$1,FALSE)</f>
        <v>N/A</v>
      </c>
      <c r="Q196" s="755"/>
      <c r="R196" s="756"/>
      <c r="S196" s="749"/>
      <c r="T196" s="319"/>
      <c r="U196" s="83"/>
      <c r="V196" s="123">
        <f>VLOOKUP(D196,Poeng!$B$10:$BB$251,Poeng!AF$1,FALSE)</f>
        <v>0</v>
      </c>
      <c r="W196" s="123" t="str">
        <f>VLOOKUP(D196,Poeng!$B$10:$BJ$251,Poeng!BJ$1,FALSE)</f>
        <v>N/A</v>
      </c>
      <c r="X196" s="81"/>
      <c r="Y196" s="80"/>
      <c r="Z196" s="749"/>
      <c r="AA196" s="133"/>
      <c r="AB196" s="648"/>
      <c r="AC196" s="107">
        <f t="shared" si="20"/>
        <v>2</v>
      </c>
      <c r="AD196" s="3" t="e">
        <f>VLOOKUP(K196,'Assessment Details'!$O$45:$P$48,2,FALSE)</f>
        <v>#N/A</v>
      </c>
      <c r="AE196" s="3" t="e">
        <f>VLOOKUP(R196,'Assessment Details'!$O$45:$P$48,2,FALSE)</f>
        <v>#N/A</v>
      </c>
      <c r="AF196" s="3" t="e">
        <f>VLOOKUP(Y196,'Assessment Details'!$O$45:$P$48,2,FALSE)</f>
        <v>#N/A</v>
      </c>
      <c r="AI196" s="70"/>
      <c r="AJ196" s="679"/>
      <c r="AK196" s="656"/>
      <c r="AL196" s="656"/>
      <c r="AM196" s="656"/>
      <c r="AN196" s="662"/>
      <c r="AO196" s="70"/>
      <c r="AP196" s="70"/>
      <c r="AS196" s="23"/>
      <c r="AT196" s="23"/>
      <c r="AU196" s="23"/>
      <c r="AV196" s="23"/>
      <c r="AW196" s="23"/>
      <c r="AX196" s="23"/>
      <c r="AZ196" s="648"/>
    </row>
    <row r="197" spans="1:52" x14ac:dyDescent="0.25">
      <c r="A197" s="1091">
        <v>188</v>
      </c>
      <c r="B197" s="1092" t="s">
        <v>73</v>
      </c>
      <c r="C197" s="1097" t="str">
        <f>C195</f>
        <v>POL 01</v>
      </c>
      <c r="D197" s="837" t="s">
        <v>901</v>
      </c>
      <c r="E197" s="875" t="str">
        <f>VLOOKUP(D197,Poeng!$B$10:$Q$251,Poeng!D$1,FALSE)</f>
        <v>Leak detection</v>
      </c>
      <c r="F197" s="122">
        <f>VLOOKUP(D197,Poeng!$B$10:$AA$251,Poeng!AA$1,FALSE)</f>
        <v>0</v>
      </c>
      <c r="G197" s="43"/>
      <c r="H197" s="123">
        <f>VLOOKUP(D197,Poeng!$B$10:$AD$251,Poeng!AD$1,FALSE)</f>
        <v>0</v>
      </c>
      <c r="I197" s="124" t="str">
        <f>VLOOKUP(D197,Poeng!$B$10:$BD$251,Poeng!BD$1,FALSE)</f>
        <v>N/A</v>
      </c>
      <c r="J197" s="80"/>
      <c r="K197" s="281"/>
      <c r="L197" s="809"/>
      <c r="M197" s="829"/>
      <c r="N197" s="83"/>
      <c r="O197" s="123">
        <f>VLOOKUP(D197,Poeng!$B$10:$BB$251,Poeng!AE$1,FALSE)</f>
        <v>0</v>
      </c>
      <c r="P197" s="123" t="str">
        <f>VLOOKUP(D197,Poeng!$B$10:$BG$251,Poeng!BG$1,FALSE)</f>
        <v>N/A</v>
      </c>
      <c r="Q197" s="755"/>
      <c r="R197" s="756"/>
      <c r="S197" s="749"/>
      <c r="T197" s="319"/>
      <c r="U197" s="83"/>
      <c r="V197" s="123">
        <f>VLOOKUP(D197,Poeng!$B$10:$BB$251,Poeng!AF$1,FALSE)</f>
        <v>0</v>
      </c>
      <c r="W197" s="123" t="str">
        <f>VLOOKUP(D197,Poeng!$B$10:$BJ$251,Poeng!BJ$1,FALSE)</f>
        <v>N/A</v>
      </c>
      <c r="X197" s="81"/>
      <c r="Y197" s="80"/>
      <c r="Z197" s="749"/>
      <c r="AA197" s="133"/>
      <c r="AB197" s="648"/>
      <c r="AC197" s="107">
        <f t="shared" si="20"/>
        <v>2</v>
      </c>
      <c r="AD197" s="3" t="e">
        <f>VLOOKUP(K197,'Assessment Details'!$O$45:$P$48,2,FALSE)</f>
        <v>#N/A</v>
      </c>
      <c r="AE197" s="3" t="e">
        <f>VLOOKUP(R197,'Assessment Details'!$O$45:$P$48,2,FALSE)</f>
        <v>#N/A</v>
      </c>
      <c r="AF197" s="3" t="e">
        <f>VLOOKUP(Y197,'Assessment Details'!$O$45:$P$48,2,FALSE)</f>
        <v>#N/A</v>
      </c>
      <c r="AI197" s="70"/>
      <c r="AJ197" s="679"/>
      <c r="AK197" s="656"/>
      <c r="AL197" s="656"/>
      <c r="AM197" s="656"/>
      <c r="AN197" s="662"/>
      <c r="AO197" s="70"/>
      <c r="AP197" s="70"/>
      <c r="AS197" s="23"/>
      <c r="AT197" s="23"/>
      <c r="AU197" s="23"/>
      <c r="AV197" s="23"/>
      <c r="AW197" s="23"/>
      <c r="AX197" s="23"/>
      <c r="AZ197" s="648"/>
    </row>
    <row r="198" spans="1:52" x14ac:dyDescent="0.25">
      <c r="A198" s="1091">
        <v>189</v>
      </c>
      <c r="B198" s="1092" t="s">
        <v>73</v>
      </c>
      <c r="C198" s="938" t="s">
        <v>188</v>
      </c>
      <c r="D198" s="837" t="s">
        <v>188</v>
      </c>
      <c r="E198" s="874" t="str">
        <f>VLOOKUP(D198,Poeng!$B$10:$Q$251,Poeng!D$1,FALSE)</f>
        <v>POL 02 Local air quality</v>
      </c>
      <c r="F198" s="879">
        <f>VLOOKUP(D198,Poeng!$B$10:$AA$251,Poeng!AA$1,FALSE)</f>
        <v>2</v>
      </c>
      <c r="G198" s="1015"/>
      <c r="H198" s="880" t="str">
        <f>VLOOKUP(D198,Poeng!$B$10:$AH$251,Poeng!AH$1,FALSE)&amp;" c. "&amp;ROUND(VLOOKUP(D198,Poeng!$B$10:$AD$251,Poeng!AD$1,FALSE)*100,1)&amp;" %"</f>
        <v>0 c. 0 %</v>
      </c>
      <c r="I198" s="938" t="str">
        <f>VLOOKUP(D198,Poeng!$B$10:$BD$251,Poeng!BD$1,FALSE)</f>
        <v>N/A</v>
      </c>
      <c r="J198" s="80"/>
      <c r="K198" s="281"/>
      <c r="L198" s="809"/>
      <c r="M198" s="829"/>
      <c r="N198" s="1015"/>
      <c r="O198" s="891" t="str">
        <f>VLOOKUP(D198,Poeng!$B$10:$BB$251,Poeng!AI$1,FALSE)&amp;" c. "&amp;ROUND(VLOOKUP(D198,Poeng!$B$10:$BB$251,Poeng!AE$1,FALSE)*100,1)&amp;" %"</f>
        <v>0 c. 0 %</v>
      </c>
      <c r="P198" s="123" t="str">
        <f>VLOOKUP(D198,Poeng!$B$10:$BG$251,Poeng!BG$1,FALSE)</f>
        <v>N/A</v>
      </c>
      <c r="Q198" s="755"/>
      <c r="R198" s="756"/>
      <c r="S198" s="749"/>
      <c r="T198" s="319"/>
      <c r="U198" s="1015"/>
      <c r="V198" s="891" t="str">
        <f>VLOOKUP(D198,Poeng!$B$10:$BB$251,Poeng!AJ$1,FALSE)&amp;" c. "&amp;ROUND(VLOOKUP(D198,Poeng!$B$10:$BB$251,Poeng!AF$1,FALSE)*100,1)&amp;" %"</f>
        <v>0 c. 0 %</v>
      </c>
      <c r="W198" s="123" t="str">
        <f>VLOOKUP(D198,Poeng!$B$10:$BJ$251,Poeng!BJ$1,FALSE)</f>
        <v>N/A</v>
      </c>
      <c r="X198" s="81"/>
      <c r="Y198" s="80"/>
      <c r="Z198" s="749"/>
      <c r="AA198" s="133"/>
      <c r="AB198" s="648" t="s">
        <v>14</v>
      </c>
      <c r="AC198" s="107">
        <f t="shared" si="20"/>
        <v>1</v>
      </c>
      <c r="AD198" s="3" t="e">
        <f>VLOOKUP(K198,'Assessment Details'!$O$45:$P$48,2,FALSE)</f>
        <v>#N/A</v>
      </c>
      <c r="AE198" s="3" t="e">
        <f>VLOOKUP(R198,'Assessment Details'!$O$45:$P$48,2,FALSE)</f>
        <v>#N/A</v>
      </c>
      <c r="AF198" s="3" t="e">
        <f>VLOOKUP(Y198,'Assessment Details'!$O$45:$P$48,2,FALSE)</f>
        <v>#N/A</v>
      </c>
      <c r="AI198" s="70" t="str">
        <f>ais_yes</f>
        <v>Ja</v>
      </c>
      <c r="AJ198" s="679" t="s">
        <v>399</v>
      </c>
      <c r="AK198" s="656" t="s">
        <v>408</v>
      </c>
      <c r="AL198" s="656" t="s">
        <v>412</v>
      </c>
      <c r="AM198" s="656" t="s">
        <v>410</v>
      </c>
      <c r="AN198" s="70"/>
      <c r="AO198" s="70"/>
      <c r="AP198" s="70"/>
      <c r="AR198" s="1" t="s">
        <v>14</v>
      </c>
      <c r="AS198" s="23" t="str">
        <f t="shared" si="23"/>
        <v>N/A</v>
      </c>
      <c r="AT198" s="23" t="str">
        <f t="shared" si="24"/>
        <v>N/A</v>
      </c>
      <c r="AU198" s="23" t="str">
        <f t="shared" si="25"/>
        <v>N/A</v>
      </c>
      <c r="AV198" s="23"/>
      <c r="AW198" s="23"/>
      <c r="AX198" s="23"/>
      <c r="AZ198" s="648"/>
    </row>
    <row r="199" spans="1:52" x14ac:dyDescent="0.25">
      <c r="A199" s="1091">
        <v>190</v>
      </c>
      <c r="B199" s="1092" t="s">
        <v>73</v>
      </c>
      <c r="C199" s="1097" t="str">
        <f t="shared" si="18"/>
        <v>POL 02</v>
      </c>
      <c r="D199" s="837" t="s">
        <v>823</v>
      </c>
      <c r="E199" s="875" t="str">
        <f>VLOOKUP(D199,Poeng!$B$10:$Q$251,Poeng!D$1,FALSE)</f>
        <v>Non-combustion heating and hot water system</v>
      </c>
      <c r="F199" s="122">
        <f>VLOOKUP(D199,Poeng!$B$10:$AA$251,Poeng!AA$1,FALSE)</f>
        <v>2</v>
      </c>
      <c r="G199" s="43"/>
      <c r="H199" s="123">
        <f>VLOOKUP(D199,Poeng!$B$10:$AD$251,Poeng!AD$1,FALSE)</f>
        <v>0</v>
      </c>
      <c r="I199" s="124" t="str">
        <f>VLOOKUP(D199,Poeng!$B$10:$BD$251,Poeng!BD$1,FALSE)</f>
        <v>N/A</v>
      </c>
      <c r="J199" s="80"/>
      <c r="K199" s="281"/>
      <c r="L199" s="809"/>
      <c r="M199" s="829"/>
      <c r="N199" s="83"/>
      <c r="O199" s="123">
        <f>VLOOKUP(D199,Poeng!$B$10:$BB$251,Poeng!AE$1,FALSE)</f>
        <v>0</v>
      </c>
      <c r="P199" s="123" t="str">
        <f>VLOOKUP(D199,Poeng!$B$10:$BG$251,Poeng!BG$1,FALSE)</f>
        <v>N/A</v>
      </c>
      <c r="Q199" s="755"/>
      <c r="R199" s="756"/>
      <c r="S199" s="749"/>
      <c r="T199" s="319"/>
      <c r="U199" s="83"/>
      <c r="V199" s="123">
        <f>VLOOKUP(D199,Poeng!$B$10:$BB$251,Poeng!AF$1,FALSE)</f>
        <v>0</v>
      </c>
      <c r="W199" s="123" t="str">
        <f>VLOOKUP(D199,Poeng!$B$10:$BJ$251,Poeng!BJ$1,FALSE)</f>
        <v>N/A</v>
      </c>
      <c r="X199" s="81"/>
      <c r="Y199" s="80"/>
      <c r="Z199" s="749"/>
      <c r="AA199" s="133"/>
      <c r="AB199" s="648"/>
      <c r="AC199" s="107">
        <f t="shared" si="20"/>
        <v>1</v>
      </c>
      <c r="AD199" s="3" t="e">
        <f>VLOOKUP(K199,'Assessment Details'!$O$45:$P$48,2,FALSE)</f>
        <v>#N/A</v>
      </c>
      <c r="AE199" s="3" t="e">
        <f>VLOOKUP(R199,'Assessment Details'!$O$45:$P$48,2,FALSE)</f>
        <v>#N/A</v>
      </c>
      <c r="AF199" s="3" t="e">
        <f>VLOOKUP(Y199,'Assessment Details'!$O$45:$P$48,2,FALSE)</f>
        <v>#N/A</v>
      </c>
      <c r="AI199" s="70"/>
      <c r="AJ199" s="679"/>
      <c r="AK199" s="656"/>
      <c r="AL199" s="656"/>
      <c r="AM199" s="656"/>
      <c r="AN199" s="70"/>
      <c r="AO199" s="70"/>
      <c r="AP199" s="70"/>
      <c r="AS199" s="23"/>
      <c r="AT199" s="23"/>
      <c r="AU199" s="23"/>
      <c r="AV199" s="23"/>
      <c r="AW199" s="23"/>
      <c r="AX199" s="23"/>
      <c r="AZ199" s="648"/>
    </row>
    <row r="200" spans="1:52" x14ac:dyDescent="0.25">
      <c r="A200" s="1091">
        <v>191</v>
      </c>
      <c r="B200" s="1092" t="s">
        <v>73</v>
      </c>
      <c r="C200" s="1097" t="str">
        <f t="shared" si="18"/>
        <v>POL 02</v>
      </c>
      <c r="D200" s="837" t="s">
        <v>824</v>
      </c>
      <c r="E200" s="875" t="str">
        <f>VLOOKUP(D200,Poeng!$B$10:$Q$251,Poeng!D$1,FALSE)</f>
        <v>Combustion-powered heating and hot water</v>
      </c>
      <c r="F200" s="122">
        <f>VLOOKUP(D200,Poeng!$B$10:$AA$251,Poeng!AA$1,FALSE)</f>
        <v>0</v>
      </c>
      <c r="G200" s="43"/>
      <c r="H200" s="123">
        <f>VLOOKUP(D200,Poeng!$B$10:$AD$251,Poeng!AD$1,FALSE)</f>
        <v>0</v>
      </c>
      <c r="I200" s="124" t="str">
        <f>VLOOKUP(D200,Poeng!$B$10:$BD$251,Poeng!BD$1,FALSE)</f>
        <v>N/A</v>
      </c>
      <c r="J200" s="80"/>
      <c r="K200" s="281"/>
      <c r="L200" s="809"/>
      <c r="M200" s="829"/>
      <c r="N200" s="83"/>
      <c r="O200" s="123">
        <f>VLOOKUP(D200,Poeng!$B$10:$BB$251,Poeng!AE$1,FALSE)</f>
        <v>0</v>
      </c>
      <c r="P200" s="123" t="str">
        <f>VLOOKUP(D200,Poeng!$B$10:$BG$251,Poeng!BG$1,FALSE)</f>
        <v>N/A</v>
      </c>
      <c r="Q200" s="755"/>
      <c r="R200" s="756"/>
      <c r="S200" s="749"/>
      <c r="T200" s="319"/>
      <c r="U200" s="83"/>
      <c r="V200" s="123">
        <f>VLOOKUP(D200,Poeng!$B$10:$BB$251,Poeng!AF$1,FALSE)</f>
        <v>0</v>
      </c>
      <c r="W200" s="123" t="str">
        <f>VLOOKUP(D200,Poeng!$B$10:$BJ$251,Poeng!BJ$1,FALSE)</f>
        <v>N/A</v>
      </c>
      <c r="X200" s="81"/>
      <c r="Y200" s="80"/>
      <c r="Z200" s="749"/>
      <c r="AA200" s="133"/>
      <c r="AB200" s="648"/>
      <c r="AC200" s="107">
        <f t="shared" si="20"/>
        <v>2</v>
      </c>
      <c r="AD200" s="3" t="e">
        <f>VLOOKUP(K200,'Assessment Details'!$O$45:$P$48,2,FALSE)</f>
        <v>#N/A</v>
      </c>
      <c r="AE200" s="3" t="e">
        <f>VLOOKUP(R200,'Assessment Details'!$O$45:$P$48,2,FALSE)</f>
        <v>#N/A</v>
      </c>
      <c r="AF200" s="3" t="e">
        <f>VLOOKUP(Y200,'Assessment Details'!$O$45:$P$48,2,FALSE)</f>
        <v>#N/A</v>
      </c>
      <c r="AI200" s="70"/>
      <c r="AJ200" s="679"/>
      <c r="AK200" s="656"/>
      <c r="AL200" s="656"/>
      <c r="AM200" s="656"/>
      <c r="AN200" s="70"/>
      <c r="AO200" s="70"/>
      <c r="AP200" s="70"/>
      <c r="AS200" s="23"/>
      <c r="AT200" s="23"/>
      <c r="AU200" s="23"/>
      <c r="AV200" s="23"/>
      <c r="AW200" s="23"/>
      <c r="AX200" s="23"/>
      <c r="AZ200" s="648"/>
    </row>
    <row r="201" spans="1:52" x14ac:dyDescent="0.25">
      <c r="A201" s="1091">
        <v>192</v>
      </c>
      <c r="B201" s="1092" t="s">
        <v>73</v>
      </c>
      <c r="C201" s="938" t="s">
        <v>190</v>
      </c>
      <c r="D201" s="837" t="s">
        <v>190</v>
      </c>
      <c r="E201" s="874" t="str">
        <f>VLOOKUP(D201,Poeng!$B$10:$Q$251,Poeng!D$1,FALSE)</f>
        <v>POL 04 Reduction of night time light pollution</v>
      </c>
      <c r="F201" s="879">
        <f>VLOOKUP(D201,Poeng!$B$10:$AA$251,Poeng!AA$1,FALSE)</f>
        <v>1</v>
      </c>
      <c r="G201" s="1015"/>
      <c r="H201" s="880" t="str">
        <f>VLOOKUP(D201,Poeng!$B$10:$AH$251,Poeng!AH$1,FALSE)&amp;" c. "&amp;ROUND(VLOOKUP(D201,Poeng!$B$10:$AD$251,Poeng!AD$1,FALSE)*100,1)&amp;" %"</f>
        <v>0 c. 0 %</v>
      </c>
      <c r="I201" s="938" t="str">
        <f>VLOOKUP(D201,Poeng!$B$10:$BD$251,Poeng!BD$1,FALSE)</f>
        <v>N/A</v>
      </c>
      <c r="J201" s="80"/>
      <c r="K201" s="281"/>
      <c r="L201" s="809"/>
      <c r="M201" s="829"/>
      <c r="N201" s="1015"/>
      <c r="O201" s="891" t="str">
        <f>VLOOKUP(D201,Poeng!$B$10:$BB$251,Poeng!AI$1,FALSE)&amp;" c. "&amp;ROUND(VLOOKUP(D201,Poeng!$B$10:$BB$251,Poeng!AE$1,FALSE)*100,1)&amp;" %"</f>
        <v>0 c. 0 %</v>
      </c>
      <c r="P201" s="123" t="str">
        <f>VLOOKUP(D201,Poeng!$B$10:$BG$251,Poeng!BG$1,FALSE)</f>
        <v>N/A</v>
      </c>
      <c r="Q201" s="755"/>
      <c r="R201" s="756"/>
      <c r="S201" s="749"/>
      <c r="T201" s="319"/>
      <c r="U201" s="1015"/>
      <c r="V201" s="891" t="str">
        <f>VLOOKUP(D201,Poeng!$B$10:$BB$251,Poeng!AJ$1,FALSE)&amp;" c. "&amp;ROUND(VLOOKUP(D201,Poeng!$B$10:$BB$251,Poeng!AF$1,FALSE)*100,1)&amp;" %"</f>
        <v>0 c. 0 %</v>
      </c>
      <c r="W201" s="123" t="str">
        <f>VLOOKUP(D201,Poeng!$B$10:$BJ$251,Poeng!BJ$1,FALSE)</f>
        <v>N/A</v>
      </c>
      <c r="X201" s="81"/>
      <c r="Y201" s="80"/>
      <c r="Z201" s="749"/>
      <c r="AA201" s="133"/>
      <c r="AB201" s="648" t="s">
        <v>14</v>
      </c>
      <c r="AC201" s="107">
        <f t="shared" si="20"/>
        <v>1</v>
      </c>
      <c r="AD201" s="3" t="e">
        <f>VLOOKUP(K201,'Assessment Details'!$O$45:$P$48,2,FALSE)</f>
        <v>#N/A</v>
      </c>
      <c r="AE201" s="3" t="e">
        <f>VLOOKUP(R201,'Assessment Details'!$O$45:$P$48,2,FALSE)</f>
        <v>#N/A</v>
      </c>
      <c r="AF201" s="3" t="e">
        <f>VLOOKUP(Y201,'Assessment Details'!$O$45:$P$48,2,FALSE)</f>
        <v>#N/A</v>
      </c>
      <c r="AI201" s="70" t="str">
        <f>ais_yes</f>
        <v>Ja</v>
      </c>
      <c r="AJ201" s="679" t="s">
        <v>167</v>
      </c>
      <c r="AK201" s="656" t="s">
        <v>408</v>
      </c>
      <c r="AL201" s="656" t="s">
        <v>412</v>
      </c>
      <c r="AM201" s="656" t="s">
        <v>410</v>
      </c>
      <c r="AN201" s="70"/>
      <c r="AO201" s="70"/>
      <c r="AP201" s="70"/>
      <c r="AR201" s="1" t="s">
        <v>14</v>
      </c>
      <c r="AS201" s="23" t="str">
        <f t="shared" si="23"/>
        <v>N/A</v>
      </c>
      <c r="AT201" s="23" t="str">
        <f t="shared" si="24"/>
        <v>N/A</v>
      </c>
      <c r="AU201" s="23" t="str">
        <f t="shared" si="25"/>
        <v>N/A</v>
      </c>
      <c r="AV201" s="23"/>
      <c r="AW201" s="23"/>
      <c r="AX201" s="23"/>
      <c r="AZ201" s="648"/>
    </row>
    <row r="202" spans="1:52" x14ac:dyDescent="0.25">
      <c r="A202" s="1091">
        <v>193</v>
      </c>
      <c r="B202" s="1092" t="s">
        <v>73</v>
      </c>
      <c r="C202" s="1097" t="str">
        <f t="shared" si="18"/>
        <v>POL 04</v>
      </c>
      <c r="D202" s="837" t="s">
        <v>825</v>
      </c>
      <c r="E202" s="875" t="str">
        <f>VLOOKUP(D202,Poeng!$B$10:$Q$251,Poeng!D$1,FALSE)</f>
        <v xml:space="preserve">No external lighting pollution </v>
      </c>
      <c r="F202" s="122">
        <f>VLOOKUP(D202,Poeng!$B$10:$AA$251,Poeng!AA$1,FALSE)</f>
        <v>1</v>
      </c>
      <c r="G202" s="43"/>
      <c r="H202" s="123">
        <f>VLOOKUP(D202,Poeng!$B$10:$AD$251,Poeng!AD$1,FALSE)</f>
        <v>0</v>
      </c>
      <c r="I202" s="124" t="str">
        <f>VLOOKUP(D202,Poeng!$B$10:$BD$251,Poeng!BD$1,FALSE)</f>
        <v>N/A</v>
      </c>
      <c r="J202" s="80"/>
      <c r="K202" s="281"/>
      <c r="L202" s="809"/>
      <c r="M202" s="829"/>
      <c r="N202" s="83"/>
      <c r="O202" s="123">
        <f>VLOOKUP(D202,Poeng!$B$10:$BB$251,Poeng!AE$1,FALSE)</f>
        <v>0</v>
      </c>
      <c r="P202" s="123" t="str">
        <f>VLOOKUP(D202,Poeng!$B$10:$BG$251,Poeng!BG$1,FALSE)</f>
        <v>N/A</v>
      </c>
      <c r="Q202" s="755"/>
      <c r="R202" s="756"/>
      <c r="S202" s="749"/>
      <c r="T202" s="319"/>
      <c r="U202" s="83"/>
      <c r="V202" s="123">
        <f>VLOOKUP(D202,Poeng!$B$10:$BB$251,Poeng!AF$1,FALSE)</f>
        <v>0</v>
      </c>
      <c r="W202" s="123" t="str">
        <f>VLOOKUP(D202,Poeng!$B$10:$BJ$251,Poeng!BJ$1,FALSE)</f>
        <v>N/A</v>
      </c>
      <c r="X202" s="81"/>
      <c r="Y202" s="80"/>
      <c r="Z202" s="749"/>
      <c r="AA202" s="133"/>
      <c r="AB202" s="648"/>
      <c r="AC202" s="107">
        <f t="shared" si="20"/>
        <v>1</v>
      </c>
      <c r="AD202" s="3" t="e">
        <f>VLOOKUP(K202,'Assessment Details'!$O$45:$P$48,2,FALSE)</f>
        <v>#N/A</v>
      </c>
      <c r="AE202" s="3" t="e">
        <f>VLOOKUP(R202,'Assessment Details'!$O$45:$P$48,2,FALSE)</f>
        <v>#N/A</v>
      </c>
      <c r="AF202" s="3" t="e">
        <f>VLOOKUP(Y202,'Assessment Details'!$O$45:$P$48,2,FALSE)</f>
        <v>#N/A</v>
      </c>
      <c r="AI202" s="70"/>
      <c r="AJ202" s="679"/>
      <c r="AK202" s="656"/>
      <c r="AL202" s="656"/>
      <c r="AM202" s="656"/>
      <c r="AN202" s="70"/>
      <c r="AO202" s="70"/>
      <c r="AP202" s="70"/>
      <c r="AS202" s="23"/>
      <c r="AT202" s="23"/>
      <c r="AU202" s="23"/>
      <c r="AV202" s="23"/>
      <c r="AW202" s="23"/>
      <c r="AX202" s="23"/>
      <c r="AZ202" s="648"/>
    </row>
    <row r="203" spans="1:52" x14ac:dyDescent="0.25">
      <c r="A203" s="1091">
        <v>194</v>
      </c>
      <c r="B203" s="1092" t="s">
        <v>73</v>
      </c>
      <c r="C203" s="1097" t="str">
        <f t="shared" si="18"/>
        <v>POL 04</v>
      </c>
      <c r="D203" s="837" t="s">
        <v>826</v>
      </c>
      <c r="E203" s="875" t="str">
        <f>VLOOKUP(D203,Poeng!$B$10:$Q$251,Poeng!D$1,FALSE)</f>
        <v>Minimizing external light pollution</v>
      </c>
      <c r="F203" s="122">
        <f>VLOOKUP(D203,Poeng!$B$10:$AA$251,Poeng!AA$1,FALSE)</f>
        <v>0</v>
      </c>
      <c r="G203" s="43"/>
      <c r="H203" s="123">
        <f>VLOOKUP(D203,Poeng!$B$10:$AD$251,Poeng!AD$1,FALSE)</f>
        <v>0</v>
      </c>
      <c r="I203" s="124" t="str">
        <f>VLOOKUP(D203,Poeng!$B$10:$BD$251,Poeng!BD$1,FALSE)</f>
        <v>N/A</v>
      </c>
      <c r="J203" s="80"/>
      <c r="K203" s="281"/>
      <c r="L203" s="809"/>
      <c r="M203" s="829"/>
      <c r="N203" s="83"/>
      <c r="O203" s="123">
        <f>VLOOKUP(D203,Poeng!$B$10:$BB$251,Poeng!AE$1,FALSE)</f>
        <v>0</v>
      </c>
      <c r="P203" s="123" t="str">
        <f>VLOOKUP(D203,Poeng!$B$10:$BG$251,Poeng!BG$1,FALSE)</f>
        <v>N/A</v>
      </c>
      <c r="Q203" s="755"/>
      <c r="R203" s="756"/>
      <c r="S203" s="749"/>
      <c r="T203" s="319"/>
      <c r="U203" s="83"/>
      <c r="V203" s="123">
        <f>VLOOKUP(D203,Poeng!$B$10:$BB$251,Poeng!AF$1,FALSE)</f>
        <v>0</v>
      </c>
      <c r="W203" s="123" t="str">
        <f>VLOOKUP(D203,Poeng!$B$10:$BJ$251,Poeng!BJ$1,FALSE)</f>
        <v>N/A</v>
      </c>
      <c r="X203" s="81"/>
      <c r="Y203" s="80"/>
      <c r="Z203" s="749"/>
      <c r="AA203" s="133"/>
      <c r="AB203" s="648"/>
      <c r="AC203" s="107">
        <f t="shared" si="20"/>
        <v>2</v>
      </c>
      <c r="AD203" s="3" t="e">
        <f>VLOOKUP(K203,'Assessment Details'!$O$45:$P$48,2,FALSE)</f>
        <v>#N/A</v>
      </c>
      <c r="AE203" s="3" t="e">
        <f>VLOOKUP(R203,'Assessment Details'!$O$45:$P$48,2,FALSE)</f>
        <v>#N/A</v>
      </c>
      <c r="AF203" s="3" t="e">
        <f>VLOOKUP(Y203,'Assessment Details'!$O$45:$P$48,2,FALSE)</f>
        <v>#N/A</v>
      </c>
      <c r="AI203" s="70"/>
      <c r="AJ203" s="679"/>
      <c r="AK203" s="656"/>
      <c r="AL203" s="656"/>
      <c r="AM203" s="656"/>
      <c r="AN203" s="70"/>
      <c r="AO203" s="70"/>
      <c r="AP203" s="70"/>
      <c r="AS203" s="23"/>
      <c r="AT203" s="23"/>
      <c r="AU203" s="23"/>
      <c r="AV203" s="23"/>
      <c r="AW203" s="23"/>
      <c r="AX203" s="23"/>
      <c r="AZ203" s="648"/>
    </row>
    <row r="204" spans="1:52" x14ac:dyDescent="0.25">
      <c r="A204" s="1091">
        <v>195</v>
      </c>
      <c r="B204" s="1092" t="s">
        <v>73</v>
      </c>
      <c r="C204" s="938" t="s">
        <v>191</v>
      </c>
      <c r="D204" s="837" t="s">
        <v>191</v>
      </c>
      <c r="E204" s="874" t="str">
        <f>VLOOKUP(D204,Poeng!$B$10:$Q$251,Poeng!D$1,FALSE)</f>
        <v>POL 05 Reduction of noise pollution</v>
      </c>
      <c r="F204" s="879">
        <f>VLOOKUP(D204,Poeng!$B$10:$AA$251,Poeng!AA$1,FALSE)</f>
        <v>1</v>
      </c>
      <c r="G204" s="1015"/>
      <c r="H204" s="880" t="str">
        <f>VLOOKUP(D204,Poeng!$B$10:$AH$251,Poeng!AH$1,FALSE)&amp;" c. "&amp;ROUND(VLOOKUP(D204,Poeng!$B$10:$AD$251,Poeng!AD$1,FALSE)*100,1)&amp;" %"</f>
        <v>0 c. 0 %</v>
      </c>
      <c r="I204" s="938" t="str">
        <f>VLOOKUP(D204,Poeng!$B$10:$BD$251,Poeng!BD$1,FALSE)</f>
        <v>N/A</v>
      </c>
      <c r="J204" s="80"/>
      <c r="K204" s="281"/>
      <c r="L204" s="809"/>
      <c r="M204" s="829"/>
      <c r="N204" s="1015"/>
      <c r="O204" s="891" t="str">
        <f>VLOOKUP(D204,Poeng!$B$10:$BB$251,Poeng!AI$1,FALSE)&amp;" c. "&amp;ROUND(VLOOKUP(D204,Poeng!$B$10:$BB$251,Poeng!AE$1,FALSE)*100,1)&amp;" %"</f>
        <v>0 c. 0 %</v>
      </c>
      <c r="P204" s="123" t="str">
        <f>VLOOKUP(D204,Poeng!$B$10:$BG$251,Poeng!BG$1,FALSE)</f>
        <v>N/A</v>
      </c>
      <c r="Q204" s="755"/>
      <c r="R204" s="756"/>
      <c r="S204" s="749"/>
      <c r="T204" s="319"/>
      <c r="U204" s="1015"/>
      <c r="V204" s="891" t="str">
        <f>VLOOKUP(D204,Poeng!$B$10:$BB$251,Poeng!AJ$1,FALSE)&amp;" c. "&amp;ROUND(VLOOKUP(D204,Poeng!$B$10:$BB$251,Poeng!AF$1,FALSE)*100,1)&amp;" %"</f>
        <v>0 c. 0 %</v>
      </c>
      <c r="W204" s="123" t="str">
        <f>VLOOKUP(D204,Poeng!$B$10:$BJ$251,Poeng!BJ$1,FALSE)</f>
        <v>N/A</v>
      </c>
      <c r="X204" s="81"/>
      <c r="Y204" s="80"/>
      <c r="Z204" s="749"/>
      <c r="AA204" s="133"/>
      <c r="AB204" s="648" t="s">
        <v>14</v>
      </c>
      <c r="AC204" s="107">
        <f t="shared" si="20"/>
        <v>1</v>
      </c>
      <c r="AD204" s="3" t="e">
        <f>VLOOKUP(K204,'Assessment Details'!$O$45:$P$48,2,FALSE)</f>
        <v>#N/A</v>
      </c>
      <c r="AE204" s="3" t="e">
        <f>VLOOKUP(R204,'Assessment Details'!$O$45:$P$48,2,FALSE)</f>
        <v>#N/A</v>
      </c>
      <c r="AF204" s="3" t="e">
        <f>VLOOKUP(Y204,'Assessment Details'!$O$45:$P$48,2,FALSE)</f>
        <v>#N/A</v>
      </c>
      <c r="AI204" s="70" t="str">
        <f>ais_yes</f>
        <v>Ja</v>
      </c>
      <c r="AJ204" s="679" t="s">
        <v>170</v>
      </c>
      <c r="AK204" s="656" t="s">
        <v>408</v>
      </c>
      <c r="AL204" s="656" t="s">
        <v>412</v>
      </c>
      <c r="AM204" s="656" t="s">
        <v>410</v>
      </c>
      <c r="AN204" s="70"/>
      <c r="AO204" s="70"/>
      <c r="AP204" s="70"/>
      <c r="AR204" s="1" t="s">
        <v>14</v>
      </c>
      <c r="AS204" s="23" t="str">
        <f t="shared" si="23"/>
        <v>N/A</v>
      </c>
      <c r="AT204" s="23" t="str">
        <f t="shared" si="24"/>
        <v>N/A</v>
      </c>
      <c r="AU204" s="23" t="str">
        <f t="shared" si="25"/>
        <v>N/A</v>
      </c>
      <c r="AV204" s="23"/>
      <c r="AW204" s="23"/>
      <c r="AX204" s="23"/>
      <c r="AZ204" s="648"/>
    </row>
    <row r="205" spans="1:52" x14ac:dyDescent="0.25">
      <c r="A205" s="1091">
        <v>196</v>
      </c>
      <c r="B205" s="1092" t="s">
        <v>73</v>
      </c>
      <c r="C205" s="1097" t="str">
        <f t="shared" si="18"/>
        <v>POL 05</v>
      </c>
      <c r="D205" s="837" t="s">
        <v>827</v>
      </c>
      <c r="E205" s="875" t="str">
        <f>VLOOKUP(D205,Poeng!$B$10:$Q$251,Poeng!D$1,FALSE)</f>
        <v>No noise-sensitive areas</v>
      </c>
      <c r="F205" s="122">
        <f>VLOOKUP(D205,Poeng!$B$10:$AA$251,Poeng!AA$1,FALSE)</f>
        <v>1</v>
      </c>
      <c r="G205" s="43"/>
      <c r="H205" s="123">
        <f>VLOOKUP(D205,Poeng!$B$10:$AD$251,Poeng!AD$1,FALSE)</f>
        <v>0</v>
      </c>
      <c r="I205" s="124" t="str">
        <f>VLOOKUP(D205,Poeng!$B$10:$BD$251,Poeng!BD$1,FALSE)</f>
        <v>N/A</v>
      </c>
      <c r="J205" s="80"/>
      <c r="K205" s="281"/>
      <c r="L205" s="809"/>
      <c r="M205" s="829"/>
      <c r="N205" s="83"/>
      <c r="O205" s="123">
        <f>VLOOKUP(D205,Poeng!$B$10:$BB$251,Poeng!AE$1,FALSE)</f>
        <v>0</v>
      </c>
      <c r="P205" s="123" t="str">
        <f>VLOOKUP(D205,Poeng!$B$10:$BG$251,Poeng!BG$1,FALSE)</f>
        <v>N/A</v>
      </c>
      <c r="Q205" s="755"/>
      <c r="R205" s="756"/>
      <c r="S205" s="749"/>
      <c r="T205" s="319"/>
      <c r="U205" s="83"/>
      <c r="V205" s="123">
        <f>VLOOKUP(D205,Poeng!$B$10:$BB$251,Poeng!AF$1,FALSE)</f>
        <v>0</v>
      </c>
      <c r="W205" s="123" t="str">
        <f>VLOOKUP(D205,Poeng!$B$10:$BJ$251,Poeng!BJ$1,FALSE)</f>
        <v>N/A</v>
      </c>
      <c r="X205" s="81"/>
      <c r="Y205" s="80"/>
      <c r="Z205" s="749"/>
      <c r="AA205" s="133"/>
      <c r="AB205" s="725"/>
      <c r="AC205" s="107">
        <f t="shared" si="20"/>
        <v>1</v>
      </c>
      <c r="AD205" s="3" t="e">
        <f>VLOOKUP(K205,'Assessment Details'!$O$45:$P$48,2,FALSE)</f>
        <v>#N/A</v>
      </c>
      <c r="AE205" s="3" t="e">
        <f>VLOOKUP(R205,'Assessment Details'!$O$45:$P$48,2,FALSE)</f>
        <v>#N/A</v>
      </c>
      <c r="AF205" s="3" t="e">
        <f>VLOOKUP(Y205,'Assessment Details'!$O$45:$P$48,2,FALSE)</f>
        <v>#N/A</v>
      </c>
      <c r="AI205" s="70"/>
      <c r="AJ205" s="679"/>
      <c r="AK205" s="656"/>
      <c r="AL205" s="656"/>
      <c r="AM205" s="656"/>
      <c r="AN205" s="70"/>
      <c r="AO205" s="70"/>
      <c r="AP205" s="70"/>
      <c r="AS205" s="23"/>
      <c r="AT205" s="23"/>
      <c r="AU205" s="23"/>
      <c r="AV205" s="23"/>
      <c r="AW205" s="23"/>
      <c r="AX205" s="23"/>
      <c r="AZ205" s="725"/>
    </row>
    <row r="206" spans="1:52" x14ac:dyDescent="0.25">
      <c r="A206" s="1091">
        <v>197</v>
      </c>
      <c r="B206" s="1092" t="s">
        <v>73</v>
      </c>
      <c r="C206" s="1097" t="str">
        <f t="shared" si="18"/>
        <v>POL 05</v>
      </c>
      <c r="D206" s="837" t="s">
        <v>828</v>
      </c>
      <c r="E206" s="875" t="str">
        <f>VLOOKUP(D206,Poeng!$B$10:$Q$251,Poeng!D$1,FALSE)</f>
        <v>Minimizing noise pollution in noise-sensitive areas</v>
      </c>
      <c r="F206" s="122">
        <f>VLOOKUP(D206,Poeng!$B$10:$AA$251,Poeng!AA$1,FALSE)</f>
        <v>0</v>
      </c>
      <c r="G206" s="43"/>
      <c r="H206" s="123">
        <f>VLOOKUP(D206,Poeng!$B$10:$AD$251,Poeng!AD$1,FALSE)</f>
        <v>0</v>
      </c>
      <c r="I206" s="124" t="str">
        <f>VLOOKUP(D206,Poeng!$B$10:$BD$251,Poeng!BD$1,FALSE)</f>
        <v>N/A</v>
      </c>
      <c r="J206" s="80"/>
      <c r="K206" s="281"/>
      <c r="L206" s="809"/>
      <c r="M206" s="829"/>
      <c r="N206" s="83"/>
      <c r="O206" s="123">
        <f>VLOOKUP(D206,Poeng!$B$10:$BB$251,Poeng!AE$1,FALSE)</f>
        <v>0</v>
      </c>
      <c r="P206" s="123" t="str">
        <f>VLOOKUP(D206,Poeng!$B$10:$BG$251,Poeng!BG$1,FALSE)</f>
        <v>N/A</v>
      </c>
      <c r="Q206" s="755"/>
      <c r="R206" s="756"/>
      <c r="S206" s="749"/>
      <c r="T206" s="319"/>
      <c r="U206" s="83"/>
      <c r="V206" s="123">
        <f>VLOOKUP(D206,Poeng!$B$10:$BB$251,Poeng!AF$1,FALSE)</f>
        <v>0</v>
      </c>
      <c r="W206" s="123" t="str">
        <f>VLOOKUP(D206,Poeng!$B$10:$BJ$251,Poeng!BJ$1,FALSE)</f>
        <v>N/A</v>
      </c>
      <c r="X206" s="81"/>
      <c r="Y206" s="80"/>
      <c r="Z206" s="749"/>
      <c r="AA206" s="133"/>
      <c r="AB206" s="725"/>
      <c r="AC206" s="107">
        <f t="shared" si="20"/>
        <v>2</v>
      </c>
      <c r="AD206" s="3" t="e">
        <f>VLOOKUP(K206,'Assessment Details'!$O$45:$P$48,2,FALSE)</f>
        <v>#N/A</v>
      </c>
      <c r="AE206" s="3" t="e">
        <f>VLOOKUP(R206,'Assessment Details'!$O$45:$P$48,2,FALSE)</f>
        <v>#N/A</v>
      </c>
      <c r="AF206" s="3" t="e">
        <f>VLOOKUP(Y206,'Assessment Details'!$O$45:$P$48,2,FALSE)</f>
        <v>#N/A</v>
      </c>
      <c r="AI206" s="70"/>
      <c r="AJ206" s="679"/>
      <c r="AK206" s="656"/>
      <c r="AL206" s="656"/>
      <c r="AM206" s="656"/>
      <c r="AN206" s="70"/>
      <c r="AO206" s="70"/>
      <c r="AP206" s="70"/>
      <c r="AS206" s="23"/>
      <c r="AT206" s="23"/>
      <c r="AU206" s="23"/>
      <c r="AV206" s="23"/>
      <c r="AW206" s="23"/>
      <c r="AX206" s="23"/>
      <c r="AZ206" s="725"/>
    </row>
    <row r="207" spans="1:52" ht="15.75" thickBot="1" x14ac:dyDescent="0.3">
      <c r="A207" s="1091">
        <v>198</v>
      </c>
      <c r="B207" s="1092" t="s">
        <v>73</v>
      </c>
      <c r="C207" s="1098"/>
      <c r="D207" s="837" t="s">
        <v>894</v>
      </c>
      <c r="E207" s="320" t="s">
        <v>113</v>
      </c>
      <c r="F207" s="125">
        <f>Pol_Credits</f>
        <v>7</v>
      </c>
      <c r="G207" s="131"/>
      <c r="H207" s="126">
        <f>Pol_cont_tot</f>
        <v>0</v>
      </c>
      <c r="I207" s="881" t="str">
        <f>"Credits achieved: "&amp;Pol_tot_user</f>
        <v>Credits achieved: 0</v>
      </c>
      <c r="J207" s="134"/>
      <c r="K207" s="282"/>
      <c r="L207" s="757"/>
      <c r="M207" s="829"/>
      <c r="N207" s="383"/>
      <c r="O207" s="126">
        <f>VLOOKUP(D207,Poeng!$B$10:$BB$251,Poeng!AE$1,FALSE)</f>
        <v>0</v>
      </c>
      <c r="P207" s="881" t="str">
        <f>"Credits achieved: "&amp;Pol_d_user</f>
        <v>Credits achieved: 0</v>
      </c>
      <c r="Q207" s="758"/>
      <c r="R207" s="759"/>
      <c r="S207" s="757"/>
      <c r="T207" s="319"/>
      <c r="U207" s="383"/>
      <c r="V207" s="126">
        <f>VLOOKUP(D207,Poeng!$B$10:$BB$251,Poeng!AF$1,FALSE)</f>
        <v>0</v>
      </c>
      <c r="W207" s="881" t="str">
        <f>"Credits achieved: "&amp;Pol_c_user</f>
        <v>Credits achieved: 0</v>
      </c>
      <c r="X207" s="382"/>
      <c r="Y207" s="136"/>
      <c r="Z207" s="757"/>
      <c r="AA207" s="133"/>
      <c r="AB207" s="649"/>
      <c r="AC207" s="107">
        <f t="shared" si="20"/>
        <v>1</v>
      </c>
      <c r="AD207" s="276">
        <v>0</v>
      </c>
      <c r="AE207" s="276">
        <v>0</v>
      </c>
      <c r="AF207" s="276">
        <v>0</v>
      </c>
      <c r="AI207" s="70"/>
      <c r="AJ207" s="679" t="s">
        <v>113</v>
      </c>
      <c r="AK207" s="70"/>
      <c r="AL207" s="70"/>
      <c r="AM207" s="70"/>
      <c r="AN207" s="70"/>
      <c r="AO207" s="70"/>
      <c r="AP207" s="70"/>
      <c r="AS207" s="23" t="str">
        <f t="shared" si="23"/>
        <v>N/A</v>
      </c>
      <c r="AT207" s="23" t="str">
        <f t="shared" si="24"/>
        <v>N/A</v>
      </c>
      <c r="AU207" s="23" t="str">
        <f t="shared" si="25"/>
        <v>N/A</v>
      </c>
      <c r="AV207" s="23"/>
      <c r="AW207" s="23"/>
      <c r="AX207" s="23"/>
      <c r="AZ207" s="649"/>
    </row>
    <row r="208" spans="1:52" x14ac:dyDescent="0.25">
      <c r="A208" s="1091">
        <v>199</v>
      </c>
      <c r="B208" s="1092" t="s">
        <v>73</v>
      </c>
      <c r="C208" s="322"/>
      <c r="D208" s="837"/>
      <c r="E208" s="321"/>
      <c r="F208" s="322"/>
      <c r="G208" s="323"/>
      <c r="H208" s="322"/>
      <c r="I208" s="322"/>
      <c r="J208" s="324"/>
      <c r="K208" s="323"/>
      <c r="L208" s="760"/>
      <c r="M208" s="828"/>
      <c r="N208" s="325"/>
      <c r="O208" s="325"/>
      <c r="P208" s="760"/>
      <c r="Q208" s="760"/>
      <c r="R208" s="761"/>
      <c r="S208" s="1109"/>
      <c r="T208" s="326"/>
      <c r="U208" s="325"/>
      <c r="V208" s="325"/>
      <c r="W208" s="760"/>
      <c r="X208" s="324"/>
      <c r="Y208" s="325"/>
      <c r="Z208" s="1109"/>
      <c r="AA208" s="710"/>
      <c r="AB208" s="324"/>
      <c r="AC208" s="107">
        <f t="shared" si="20"/>
        <v>1</v>
      </c>
      <c r="AD208" s="278">
        <v>0</v>
      </c>
      <c r="AE208" s="278">
        <v>0</v>
      </c>
      <c r="AF208" s="278">
        <v>0</v>
      </c>
      <c r="AI208" s="70"/>
      <c r="AJ208" s="679"/>
      <c r="AK208" s="70"/>
      <c r="AL208" s="70"/>
      <c r="AM208" s="70"/>
      <c r="AN208" s="70"/>
      <c r="AO208" s="70"/>
      <c r="AP208" s="70"/>
      <c r="AS208" s="23" t="str">
        <f t="shared" si="23"/>
        <v>N/A</v>
      </c>
      <c r="AT208" s="23" t="str">
        <f t="shared" si="24"/>
        <v>N/A</v>
      </c>
      <c r="AU208" s="23" t="str">
        <f t="shared" si="25"/>
        <v>N/A</v>
      </c>
      <c r="AV208" s="23"/>
      <c r="AW208" s="23"/>
      <c r="AX208" s="23"/>
      <c r="AZ208" s="324"/>
    </row>
    <row r="209" spans="1:52" ht="18.75" x14ac:dyDescent="0.25">
      <c r="A209" s="1091">
        <v>200</v>
      </c>
      <c r="B209" s="1092" t="s">
        <v>829</v>
      </c>
      <c r="C209" s="1099"/>
      <c r="D209" s="837"/>
      <c r="E209" s="327" t="s">
        <v>257</v>
      </c>
      <c r="F209" s="315"/>
      <c r="G209" s="316"/>
      <c r="H209" s="336"/>
      <c r="I209" s="315"/>
      <c r="J209" s="328"/>
      <c r="K209" s="329"/>
      <c r="L209" s="763"/>
      <c r="M209" s="829"/>
      <c r="N209" s="339"/>
      <c r="O209" s="332"/>
      <c r="P209" s="753"/>
      <c r="Q209" s="764"/>
      <c r="R209" s="765"/>
      <c r="S209" s="766"/>
      <c r="T209" s="319"/>
      <c r="U209" s="339"/>
      <c r="V209" s="338"/>
      <c r="W209" s="753"/>
      <c r="X209" s="328"/>
      <c r="Y209" s="338"/>
      <c r="Z209" s="763"/>
      <c r="AA209" s="133"/>
      <c r="AB209" s="337"/>
      <c r="AC209" s="107">
        <f t="shared" si="20"/>
        <v>1</v>
      </c>
      <c r="AD209" s="275">
        <v>0</v>
      </c>
      <c r="AE209" s="275">
        <v>0</v>
      </c>
      <c r="AF209" s="275">
        <v>0</v>
      </c>
      <c r="AI209" s="70"/>
      <c r="AJ209" s="679" t="s">
        <v>257</v>
      </c>
      <c r="AK209" s="70"/>
      <c r="AL209" s="70"/>
      <c r="AM209" s="70"/>
      <c r="AN209" s="70"/>
      <c r="AO209" s="70"/>
      <c r="AP209" s="70"/>
      <c r="AS209" s="23" t="str">
        <f t="shared" si="23"/>
        <v>N/A</v>
      </c>
      <c r="AT209" s="23" t="str">
        <f t="shared" si="24"/>
        <v>N/A</v>
      </c>
      <c r="AU209" s="23" t="str">
        <f t="shared" si="25"/>
        <v>N/A</v>
      </c>
      <c r="AV209" s="23"/>
      <c r="AW209" s="23"/>
      <c r="AX209" s="23"/>
      <c r="AZ209" s="337"/>
    </row>
    <row r="210" spans="1:52" x14ac:dyDescent="0.25">
      <c r="A210" s="1091">
        <v>201</v>
      </c>
      <c r="B210" s="1092" t="s">
        <v>829</v>
      </c>
      <c r="C210" s="1105" t="s">
        <v>829</v>
      </c>
      <c r="D210" s="837" t="s">
        <v>192</v>
      </c>
      <c r="E210" s="318" t="str">
        <f>VLOOKUP(D210,Poeng!$B$10:$Q$251,Poeng!D$1,FALSE)</f>
        <v xml:space="preserve">Inn 01 - Man 03: Reduction of direct emissions from construction sites </v>
      </c>
      <c r="F210" s="122">
        <f>Inn01_credits</f>
        <v>1</v>
      </c>
      <c r="G210" s="43"/>
      <c r="H210" s="123">
        <f>Inn01_cont</f>
        <v>0</v>
      </c>
      <c r="I210" s="129" t="str">
        <f>Inn01_minstd</f>
        <v>N/A</v>
      </c>
      <c r="J210" s="80"/>
      <c r="K210" s="281"/>
      <c r="L210" s="749"/>
      <c r="M210" s="829"/>
      <c r="N210" s="83"/>
      <c r="O210" s="1107">
        <f>VLOOKUP(D210,Poeng!$B$10:$BB$251,Poeng!AE$1,FALSE)</f>
        <v>0</v>
      </c>
      <c r="P210" s="123" t="str">
        <f>VLOOKUP(D210,Poeng!$B$10:$BG$251,Poeng!BG$1,FALSE)</f>
        <v>N/A</v>
      </c>
      <c r="Q210" s="755"/>
      <c r="R210" s="756"/>
      <c r="S210" s="749"/>
      <c r="T210" s="319"/>
      <c r="U210" s="83"/>
      <c r="V210" s="123">
        <f>VLOOKUP(D210,Poeng!$B$10:$BB$251,Poeng!AF$1,FALSE)</f>
        <v>0</v>
      </c>
      <c r="W210" s="123" t="str">
        <f>VLOOKUP(D210,Poeng!$B$10:$BJ$251,Poeng!BJ$1,FALSE)</f>
        <v>N/A</v>
      </c>
      <c r="X210" s="81"/>
      <c r="Y210" s="80"/>
      <c r="Z210" s="749"/>
      <c r="AA210" s="133"/>
      <c r="AB210" s="648" t="s">
        <v>15</v>
      </c>
      <c r="AC210" s="107">
        <f t="shared" ref="AC210:AC224" si="28">IF(F210="",1,IF(F210=0,2,1))</f>
        <v>1</v>
      </c>
      <c r="AD210" s="3" t="e">
        <f>VLOOKUP(K210,'Assessment Details'!$O$45:$P$48,2,FALSE)</f>
        <v>#N/A</v>
      </c>
      <c r="AE210" s="3" t="e">
        <f>VLOOKUP(R210,'Assessment Details'!$O$45:$P$48,2,FALSE)</f>
        <v>#N/A</v>
      </c>
      <c r="AF210" s="3" t="e">
        <f>VLOOKUP(Y210,'Assessment Details'!$O$45:$P$48,2,FALSE)</f>
        <v>#N/A</v>
      </c>
      <c r="AI210" s="70"/>
      <c r="AJ210" s="679" t="s">
        <v>338</v>
      </c>
      <c r="AK210" s="70"/>
      <c r="AL210" s="70"/>
      <c r="AM210" s="70"/>
      <c r="AN210" s="70"/>
      <c r="AO210" s="70"/>
      <c r="AP210" s="70"/>
      <c r="AS210" s="23" t="str">
        <f t="shared" si="23"/>
        <v>N/A</v>
      </c>
      <c r="AT210" s="23" t="str">
        <f t="shared" si="24"/>
        <v>N/A</v>
      </c>
      <c r="AU210" s="23" t="str">
        <f t="shared" si="25"/>
        <v>N/A</v>
      </c>
      <c r="AV210" s="23"/>
      <c r="AW210" s="23"/>
      <c r="AX210" s="23"/>
      <c r="AZ210" s="648"/>
    </row>
    <row r="211" spans="1:52" x14ac:dyDescent="0.25">
      <c r="A211" s="1091">
        <v>202</v>
      </c>
      <c r="B211" s="1092" t="s">
        <v>829</v>
      </c>
      <c r="C211" s="1105" t="s">
        <v>829</v>
      </c>
      <c r="D211" s="837" t="s">
        <v>193</v>
      </c>
      <c r="E211" s="318" t="str">
        <f>VLOOKUP(D211,Poeng!$B$10:$Q$251,Poeng!D$1,FALSE)</f>
        <v xml:space="preserve">Inn 02 - Hea 01: View out, high level </v>
      </c>
      <c r="F211" s="122">
        <f>Inn02_credits</f>
        <v>1</v>
      </c>
      <c r="G211" s="43"/>
      <c r="H211" s="123">
        <f>Inn02_cont</f>
        <v>0</v>
      </c>
      <c r="I211" s="129" t="str">
        <f>Inn02_minstd</f>
        <v>N/A</v>
      </c>
      <c r="J211" s="80"/>
      <c r="K211" s="281"/>
      <c r="L211" s="749"/>
      <c r="M211" s="829"/>
      <c r="N211" s="83"/>
      <c r="O211" s="123">
        <f>VLOOKUP(D211,Poeng!$B$10:$BB$251,Poeng!AE$1,FALSE)</f>
        <v>0</v>
      </c>
      <c r="P211" s="123" t="str">
        <f>VLOOKUP(D211,Poeng!$B$10:$BG$251,Poeng!BG$1,FALSE)</f>
        <v>N/A</v>
      </c>
      <c r="Q211" s="755"/>
      <c r="R211" s="756"/>
      <c r="S211" s="749"/>
      <c r="T211" s="319"/>
      <c r="U211" s="83"/>
      <c r="V211" s="123">
        <f>VLOOKUP(D211,Poeng!$B$10:$BB$251,Poeng!AF$1,FALSE)</f>
        <v>0</v>
      </c>
      <c r="W211" s="123" t="str">
        <f>VLOOKUP(D211,Poeng!$B$10:$BJ$251,Poeng!BJ$1,FALSE)</f>
        <v>N/A</v>
      </c>
      <c r="X211" s="81"/>
      <c r="Y211" s="80"/>
      <c r="Z211" s="749"/>
      <c r="AA211" s="133"/>
      <c r="AB211" s="648" t="s">
        <v>15</v>
      </c>
      <c r="AC211" s="107">
        <f t="shared" si="28"/>
        <v>1</v>
      </c>
      <c r="AD211" s="3" t="e">
        <f>VLOOKUP(K211,'Assessment Details'!$O$45:$P$48,2,FALSE)</f>
        <v>#N/A</v>
      </c>
      <c r="AE211" s="3" t="e">
        <f>VLOOKUP(R211,'Assessment Details'!$O$45:$P$48,2,FALSE)</f>
        <v>#N/A</v>
      </c>
      <c r="AF211" s="3" t="e">
        <f>VLOOKUP(Y211,'Assessment Details'!$O$45:$P$48,2,FALSE)</f>
        <v>#N/A</v>
      </c>
      <c r="AI211" s="70"/>
      <c r="AJ211" s="679" t="s">
        <v>339</v>
      </c>
      <c r="AK211" s="70"/>
      <c r="AL211" s="70"/>
      <c r="AM211" s="70"/>
      <c r="AN211" s="70"/>
      <c r="AO211" s="70"/>
      <c r="AP211" s="70"/>
      <c r="AS211" s="23" t="str">
        <f t="shared" si="23"/>
        <v>N/A</v>
      </c>
      <c r="AT211" s="23" t="str">
        <f t="shared" si="24"/>
        <v>N/A</v>
      </c>
      <c r="AU211" s="23" t="str">
        <f t="shared" si="25"/>
        <v>N/A</v>
      </c>
      <c r="AV211" s="23"/>
      <c r="AW211" s="23"/>
      <c r="AX211" s="23"/>
      <c r="AZ211" s="648"/>
    </row>
    <row r="212" spans="1:52" x14ac:dyDescent="0.25">
      <c r="A212" s="1091">
        <v>203</v>
      </c>
      <c r="B212" s="1092" t="s">
        <v>829</v>
      </c>
      <c r="C212" s="1105" t="s">
        <v>829</v>
      </c>
      <c r="D212" s="837" t="s">
        <v>194</v>
      </c>
      <c r="E212" s="318" t="str">
        <f>VLOOKUP(D212,Poeng!$B$10:$Q$251,Poeng!D$1,FALSE)</f>
        <v xml:space="preserve">Inn 03 - Hea 02: Emissions from construction products  </v>
      </c>
      <c r="F212" s="122">
        <f>Inn03_credits</f>
        <v>1</v>
      </c>
      <c r="G212" s="43"/>
      <c r="H212" s="123">
        <f>Inn03_cont</f>
        <v>0</v>
      </c>
      <c r="I212" s="129" t="str">
        <f>Inn03_minstd</f>
        <v>N/A</v>
      </c>
      <c r="J212" s="80"/>
      <c r="K212" s="281"/>
      <c r="L212" s="749"/>
      <c r="M212" s="829"/>
      <c r="N212" s="83"/>
      <c r="O212" s="123">
        <f>VLOOKUP(D212,Poeng!$B$10:$BB$251,Poeng!AE$1,FALSE)</f>
        <v>0</v>
      </c>
      <c r="P212" s="123" t="str">
        <f>VLOOKUP(D212,Poeng!$B$10:$BG$251,Poeng!BG$1,FALSE)</f>
        <v>N/A</v>
      </c>
      <c r="Q212" s="755"/>
      <c r="R212" s="756"/>
      <c r="S212" s="749"/>
      <c r="T212" s="319"/>
      <c r="U212" s="83"/>
      <c r="V212" s="123">
        <f>VLOOKUP(D212,Poeng!$B$10:$BB$251,Poeng!AF$1,FALSE)</f>
        <v>0</v>
      </c>
      <c r="W212" s="123" t="str">
        <f>VLOOKUP(D212,Poeng!$B$10:$BJ$251,Poeng!BJ$1,FALSE)</f>
        <v>N/A</v>
      </c>
      <c r="X212" s="81"/>
      <c r="Y212" s="80"/>
      <c r="Z212" s="749"/>
      <c r="AA212" s="133"/>
      <c r="AB212" s="648" t="s">
        <v>15</v>
      </c>
      <c r="AC212" s="107">
        <f t="shared" si="28"/>
        <v>1</v>
      </c>
      <c r="AD212" s="3" t="e">
        <f>VLOOKUP(K212,'Assessment Details'!$O$45:$P$48,2,FALSE)</f>
        <v>#N/A</v>
      </c>
      <c r="AE212" s="3" t="e">
        <f>VLOOKUP(R212,'Assessment Details'!$O$45:$P$48,2,FALSE)</f>
        <v>#N/A</v>
      </c>
      <c r="AF212" s="3" t="e">
        <f>VLOOKUP(Y212,'Assessment Details'!$O$45:$P$48,2,FALSE)</f>
        <v>#N/A</v>
      </c>
      <c r="AI212" s="70"/>
      <c r="AJ212" s="679" t="s">
        <v>340</v>
      </c>
      <c r="AK212" s="70"/>
      <c r="AL212" s="70"/>
      <c r="AM212" s="70"/>
      <c r="AN212" s="70"/>
      <c r="AO212" s="70"/>
      <c r="AP212" s="70"/>
      <c r="AS212" s="23" t="str">
        <f t="shared" si="23"/>
        <v>N/A</v>
      </c>
      <c r="AT212" s="23" t="str">
        <f t="shared" si="24"/>
        <v>N/A</v>
      </c>
      <c r="AU212" s="23" t="str">
        <f t="shared" si="25"/>
        <v>N/A</v>
      </c>
      <c r="AV212" s="23"/>
      <c r="AW212" s="23"/>
      <c r="AX212" s="23"/>
      <c r="AZ212" s="648"/>
    </row>
    <row r="213" spans="1:52" x14ac:dyDescent="0.25">
      <c r="A213" s="1091">
        <v>204</v>
      </c>
      <c r="B213" s="1092" t="s">
        <v>829</v>
      </c>
      <c r="C213" s="1105" t="s">
        <v>829</v>
      </c>
      <c r="D213" s="837" t="s">
        <v>195</v>
      </c>
      <c r="E213" s="318" t="str">
        <f>VLOOKUP(D213,Poeng!$B$10:$Q$251,Poeng!D$1,FALSE)</f>
        <v xml:space="preserve">Inn 04 - Hea 06: Biofilik design </v>
      </c>
      <c r="F213" s="122">
        <f>Inn04_credits</f>
        <v>1</v>
      </c>
      <c r="G213" s="43"/>
      <c r="H213" s="123">
        <f>Inn04_cont</f>
        <v>0</v>
      </c>
      <c r="I213" s="129" t="str">
        <f>Inn04_minstd</f>
        <v>N/A</v>
      </c>
      <c r="J213" s="80"/>
      <c r="K213" s="281"/>
      <c r="L213" s="749"/>
      <c r="M213" s="829"/>
      <c r="N213" s="83"/>
      <c r="O213" s="123">
        <f>VLOOKUP(D213,Poeng!$B$10:$BB$251,Poeng!AE$1,FALSE)</f>
        <v>0</v>
      </c>
      <c r="P213" s="123" t="str">
        <f>VLOOKUP(D213,Poeng!$B$10:$BG$251,Poeng!BG$1,FALSE)</f>
        <v>N/A</v>
      </c>
      <c r="Q213" s="755"/>
      <c r="R213" s="756"/>
      <c r="S213" s="749"/>
      <c r="T213" s="319"/>
      <c r="U213" s="83"/>
      <c r="V213" s="123">
        <f>VLOOKUP(D213,Poeng!$B$10:$BB$251,Poeng!AF$1,FALSE)</f>
        <v>0</v>
      </c>
      <c r="W213" s="123" t="str">
        <f>VLOOKUP(D213,Poeng!$B$10:$BJ$251,Poeng!BJ$1,FALSE)</f>
        <v>N/A</v>
      </c>
      <c r="X213" s="81"/>
      <c r="Y213" s="80"/>
      <c r="Z213" s="749"/>
      <c r="AA213" s="133"/>
      <c r="AB213" s="648" t="s">
        <v>15</v>
      </c>
      <c r="AC213" s="107">
        <f t="shared" si="28"/>
        <v>1</v>
      </c>
      <c r="AD213" s="3" t="e">
        <f>VLOOKUP(K213,'Assessment Details'!$O$45:$P$48,2,FALSE)</f>
        <v>#N/A</v>
      </c>
      <c r="AE213" s="3" t="e">
        <f>VLOOKUP(R213,'Assessment Details'!$O$45:$P$48,2,FALSE)</f>
        <v>#N/A</v>
      </c>
      <c r="AF213" s="3" t="e">
        <f>VLOOKUP(Y213,'Assessment Details'!$O$45:$P$48,2,FALSE)</f>
        <v>#N/A</v>
      </c>
      <c r="AI213" s="70"/>
      <c r="AJ213" s="679" t="s">
        <v>341</v>
      </c>
      <c r="AK213" s="70"/>
      <c r="AL213" s="70"/>
      <c r="AM213" s="70"/>
      <c r="AN213" s="70"/>
      <c r="AO213" s="70"/>
      <c r="AP213" s="70"/>
      <c r="AS213" s="23" t="str">
        <f t="shared" si="23"/>
        <v>N/A</v>
      </c>
      <c r="AT213" s="23" t="str">
        <f t="shared" si="24"/>
        <v>N/A</v>
      </c>
      <c r="AU213" s="23" t="str">
        <f t="shared" si="25"/>
        <v>N/A</v>
      </c>
      <c r="AV213" s="23"/>
      <c r="AW213" s="23"/>
      <c r="AX213" s="23"/>
      <c r="AZ213" s="648"/>
    </row>
    <row r="214" spans="1:52" x14ac:dyDescent="0.25">
      <c r="A214" s="1091">
        <v>205</v>
      </c>
      <c r="B214" s="1092" t="s">
        <v>829</v>
      </c>
      <c r="C214" s="1105" t="s">
        <v>829</v>
      </c>
      <c r="D214" s="837" t="s">
        <v>196</v>
      </c>
      <c r="E214" s="318" t="str">
        <f>VLOOKUP(D214,Poeng!$B$10:$Q$251,Poeng!D$1,FALSE)</f>
        <v xml:space="preserve">Inn 05 - Ene 01: Post-occupancy stage </v>
      </c>
      <c r="F214" s="122">
        <f>Inn05_credits</f>
        <v>2</v>
      </c>
      <c r="G214" s="43"/>
      <c r="H214" s="123">
        <f>Inn05_cont</f>
        <v>0</v>
      </c>
      <c r="I214" s="129" t="str">
        <f>Inn05_minstd</f>
        <v>N/A</v>
      </c>
      <c r="J214" s="80"/>
      <c r="K214" s="281"/>
      <c r="L214" s="749"/>
      <c r="M214" s="829"/>
      <c r="N214" s="83"/>
      <c r="O214" s="123">
        <f>VLOOKUP(D214,Poeng!$B$10:$BB$251,Poeng!AE$1,FALSE)</f>
        <v>0</v>
      </c>
      <c r="P214" s="123" t="str">
        <f>VLOOKUP(D214,Poeng!$B$10:$BG$251,Poeng!BG$1,FALSE)</f>
        <v>N/A</v>
      </c>
      <c r="Q214" s="755"/>
      <c r="R214" s="756"/>
      <c r="S214" s="749"/>
      <c r="T214" s="319"/>
      <c r="U214" s="83"/>
      <c r="V214" s="123">
        <f>VLOOKUP(D214,Poeng!$B$10:$BB$251,Poeng!AF$1,FALSE)</f>
        <v>0</v>
      </c>
      <c r="W214" s="123" t="str">
        <f>VLOOKUP(D214,Poeng!$B$10:$BJ$251,Poeng!BJ$1,FALSE)</f>
        <v>N/A</v>
      </c>
      <c r="X214" s="81"/>
      <c r="Y214" s="80"/>
      <c r="Z214" s="749"/>
      <c r="AA214" s="133"/>
      <c r="AB214" s="648" t="s">
        <v>15</v>
      </c>
      <c r="AC214" s="107">
        <f t="shared" si="28"/>
        <v>1</v>
      </c>
      <c r="AD214" s="3" t="e">
        <f>VLOOKUP(K214,'Assessment Details'!$O$45:$P$48,2,FALSE)</f>
        <v>#N/A</v>
      </c>
      <c r="AE214" s="3" t="e">
        <f>VLOOKUP(R214,'Assessment Details'!$O$45:$P$48,2,FALSE)</f>
        <v>#N/A</v>
      </c>
      <c r="AF214" s="3" t="e">
        <f>VLOOKUP(Y214,'Assessment Details'!$O$45:$P$48,2,FALSE)</f>
        <v>#N/A</v>
      </c>
      <c r="AI214" s="70"/>
      <c r="AJ214" s="679" t="s">
        <v>251</v>
      </c>
      <c r="AK214" s="70"/>
      <c r="AL214" s="70"/>
      <c r="AM214" s="70"/>
      <c r="AN214" s="70"/>
      <c r="AO214" s="70"/>
      <c r="AP214" s="70"/>
      <c r="AS214" s="23" t="str">
        <f t="shared" si="23"/>
        <v>N/A</v>
      </c>
      <c r="AT214" s="23" t="str">
        <f t="shared" si="24"/>
        <v>N/A</v>
      </c>
      <c r="AU214" s="23" t="str">
        <f t="shared" si="25"/>
        <v>N/A</v>
      </c>
      <c r="AV214" s="23"/>
      <c r="AW214" s="23"/>
      <c r="AX214" s="23"/>
      <c r="AZ214" s="648"/>
    </row>
    <row r="215" spans="1:52" x14ac:dyDescent="0.25">
      <c r="A215" s="1091">
        <v>206</v>
      </c>
      <c r="B215" s="1092" t="s">
        <v>829</v>
      </c>
      <c r="C215" s="1105" t="s">
        <v>829</v>
      </c>
      <c r="D215" s="837" t="s">
        <v>197</v>
      </c>
      <c r="E215" s="318" t="str">
        <f>VLOOKUP(D215,Poeng!$B$10:$Q$251,Poeng!D$1,FALSE)</f>
        <v xml:space="preserve">Inn 06 - Ene 01: Plus house </v>
      </c>
      <c r="F215" s="122">
        <f>Inn06_credits</f>
        <v>1</v>
      </c>
      <c r="G215" s="43"/>
      <c r="H215" s="123">
        <f>Inn06_cont</f>
        <v>0</v>
      </c>
      <c r="I215" s="129" t="str">
        <f>Inn06_minstd</f>
        <v>N/A</v>
      </c>
      <c r="J215" s="80"/>
      <c r="K215" s="281"/>
      <c r="L215" s="749"/>
      <c r="M215" s="829"/>
      <c r="N215" s="83"/>
      <c r="O215" s="123">
        <f>VLOOKUP(D215,Poeng!$B$10:$BB$251,Poeng!AE$1,FALSE)</f>
        <v>0</v>
      </c>
      <c r="P215" s="123" t="str">
        <f>VLOOKUP(D215,Poeng!$B$10:$BG$251,Poeng!BG$1,FALSE)</f>
        <v>N/A</v>
      </c>
      <c r="Q215" s="755"/>
      <c r="R215" s="756"/>
      <c r="S215" s="749"/>
      <c r="T215" s="319"/>
      <c r="U215" s="83"/>
      <c r="V215" s="123">
        <f>VLOOKUP(D215,Poeng!$B$10:$BB$251,Poeng!AF$1,FALSE)</f>
        <v>0</v>
      </c>
      <c r="W215" s="123" t="str">
        <f>VLOOKUP(D215,Poeng!$B$10:$BJ$251,Poeng!BJ$1,FALSE)</f>
        <v>N/A</v>
      </c>
      <c r="X215" s="81"/>
      <c r="Y215" s="80"/>
      <c r="Z215" s="749"/>
      <c r="AA215" s="133"/>
      <c r="AB215" s="648" t="s">
        <v>15</v>
      </c>
      <c r="AC215" s="107">
        <f t="shared" si="28"/>
        <v>1</v>
      </c>
      <c r="AD215" s="3" t="e">
        <f>VLOOKUP(K215,'Assessment Details'!$O$45:$P$48,2,FALSE)</f>
        <v>#N/A</v>
      </c>
      <c r="AE215" s="3" t="e">
        <f>VLOOKUP(R215,'Assessment Details'!$O$45:$P$48,2,FALSE)</f>
        <v>#N/A</v>
      </c>
      <c r="AF215" s="3" t="e">
        <f>VLOOKUP(Y215,'Assessment Details'!$O$45:$P$48,2,FALSE)</f>
        <v>#N/A</v>
      </c>
      <c r="AI215" s="70"/>
      <c r="AJ215" s="679" t="s">
        <v>252</v>
      </c>
      <c r="AK215" s="70"/>
      <c r="AL215" s="70"/>
      <c r="AM215" s="70"/>
      <c r="AN215" s="70"/>
      <c r="AO215" s="70"/>
      <c r="AP215" s="70"/>
      <c r="AS215" s="23" t="str">
        <f t="shared" si="23"/>
        <v>N/A</v>
      </c>
      <c r="AT215" s="23" t="str">
        <f t="shared" si="24"/>
        <v>N/A</v>
      </c>
      <c r="AU215" s="23" t="str">
        <f t="shared" si="25"/>
        <v>N/A</v>
      </c>
      <c r="AV215" s="23"/>
      <c r="AW215" s="23"/>
      <c r="AX215" s="23"/>
      <c r="AZ215" s="648"/>
    </row>
    <row r="216" spans="1:52" x14ac:dyDescent="0.25">
      <c r="A216" s="1091">
        <v>207</v>
      </c>
      <c r="B216" s="1092" t="s">
        <v>829</v>
      </c>
      <c r="C216" s="1105" t="s">
        <v>829</v>
      </c>
      <c r="D216" s="837" t="s">
        <v>198</v>
      </c>
      <c r="E216" s="318" t="str">
        <f>VLOOKUP(D216,Poeng!$B$10:$Q$251,Poeng!D$1,FALSE)</f>
        <v>Inn 07 - Wat 01: Highly water efficient components</v>
      </c>
      <c r="F216" s="122">
        <f>Inn07_credits</f>
        <v>1</v>
      </c>
      <c r="G216" s="43"/>
      <c r="H216" s="123">
        <f>Inn07_cont</f>
        <v>0</v>
      </c>
      <c r="I216" s="129" t="str">
        <f>Inn07_minstd</f>
        <v>N/A</v>
      </c>
      <c r="J216" s="80"/>
      <c r="K216" s="281"/>
      <c r="L216" s="749"/>
      <c r="M216" s="829"/>
      <c r="N216" s="83"/>
      <c r="O216" s="123">
        <f>VLOOKUP(D216,Poeng!$B$10:$BB$251,Poeng!AE$1,FALSE)</f>
        <v>0</v>
      </c>
      <c r="P216" s="123" t="str">
        <f>VLOOKUP(D216,Poeng!$B$10:$BG$251,Poeng!BG$1,FALSE)</f>
        <v>N/A</v>
      </c>
      <c r="Q216" s="755"/>
      <c r="R216" s="756"/>
      <c r="S216" s="749"/>
      <c r="T216" s="319"/>
      <c r="U216" s="83"/>
      <c r="V216" s="123">
        <f>VLOOKUP(D216,Poeng!$B$10:$BB$251,Poeng!AF$1,FALSE)</f>
        <v>0</v>
      </c>
      <c r="W216" s="123" t="str">
        <f>VLOOKUP(D216,Poeng!$B$10:$BJ$251,Poeng!BJ$1,FALSE)</f>
        <v>N/A</v>
      </c>
      <c r="X216" s="81"/>
      <c r="Y216" s="80"/>
      <c r="Z216" s="749"/>
      <c r="AA216" s="133"/>
      <c r="AB216" s="648" t="s">
        <v>15</v>
      </c>
      <c r="AC216" s="107">
        <f t="shared" si="28"/>
        <v>1</v>
      </c>
      <c r="AD216" s="3" t="e">
        <f>VLOOKUP(K216,'Assessment Details'!$O$45:$P$48,2,FALSE)</f>
        <v>#N/A</v>
      </c>
      <c r="AE216" s="3" t="e">
        <f>VLOOKUP(R216,'Assessment Details'!$O$45:$P$48,2,FALSE)</f>
        <v>#N/A</v>
      </c>
      <c r="AF216" s="3" t="e">
        <f>VLOOKUP(Y216,'Assessment Details'!$O$45:$P$48,2,FALSE)</f>
        <v>#N/A</v>
      </c>
      <c r="AI216" s="70"/>
      <c r="AJ216" s="679" t="s">
        <v>342</v>
      </c>
      <c r="AK216" s="70"/>
      <c r="AL216" s="70"/>
      <c r="AM216" s="70"/>
      <c r="AN216" s="70"/>
      <c r="AO216" s="70"/>
      <c r="AP216" s="70"/>
      <c r="AS216" s="23" t="str">
        <f t="shared" si="23"/>
        <v>N/A</v>
      </c>
      <c r="AT216" s="23" t="str">
        <f t="shared" si="24"/>
        <v>N/A</v>
      </c>
      <c r="AU216" s="23" t="str">
        <f t="shared" si="25"/>
        <v>N/A</v>
      </c>
      <c r="AV216" s="23"/>
      <c r="AW216" s="23"/>
      <c r="AX216" s="23"/>
      <c r="AZ216" s="648"/>
    </row>
    <row r="217" spans="1:52" x14ac:dyDescent="0.25">
      <c r="A217" s="1091">
        <v>208</v>
      </c>
      <c r="B217" s="1092" t="s">
        <v>829</v>
      </c>
      <c r="C217" s="1105" t="s">
        <v>829</v>
      </c>
      <c r="D217" s="837" t="s">
        <v>226</v>
      </c>
      <c r="E217" s="318" t="str">
        <f>VLOOKUP(D217,Poeng!$B$10:$Q$251,Poeng!D$1,FALSE)</f>
        <v xml:space="preserve">Inn 08 - Mat 01: 60% reduction of greenhouse gas emission </v>
      </c>
      <c r="F217" s="122">
        <f>Inn08_credits</f>
        <v>1</v>
      </c>
      <c r="G217" s="43"/>
      <c r="H217" s="123">
        <f>Inn08_cont</f>
        <v>0</v>
      </c>
      <c r="I217" s="129" t="str">
        <f>Inn08_minstd</f>
        <v>N/A</v>
      </c>
      <c r="J217" s="80"/>
      <c r="K217" s="281"/>
      <c r="L217" s="749"/>
      <c r="M217" s="829"/>
      <c r="N217" s="83"/>
      <c r="O217" s="123">
        <f>VLOOKUP(D217,Poeng!$B$10:$BB$251,Poeng!AE$1,FALSE)</f>
        <v>0</v>
      </c>
      <c r="P217" s="123" t="str">
        <f>VLOOKUP(D217,Poeng!$B$10:$BG$251,Poeng!BG$1,FALSE)</f>
        <v>N/A</v>
      </c>
      <c r="Q217" s="755"/>
      <c r="R217" s="756"/>
      <c r="S217" s="749"/>
      <c r="T217" s="319"/>
      <c r="U217" s="83"/>
      <c r="V217" s="123">
        <f>VLOOKUP(D217,Poeng!$B$10:$BB$251,Poeng!AF$1,FALSE)</f>
        <v>0</v>
      </c>
      <c r="W217" s="123" t="str">
        <f>VLOOKUP(D217,Poeng!$B$10:$BJ$251,Poeng!BJ$1,FALSE)</f>
        <v>N/A</v>
      </c>
      <c r="X217" s="81"/>
      <c r="Y217" s="80"/>
      <c r="Z217" s="749"/>
      <c r="AA217" s="133"/>
      <c r="AB217" s="648" t="s">
        <v>15</v>
      </c>
      <c r="AC217" s="107">
        <f t="shared" si="28"/>
        <v>1</v>
      </c>
      <c r="AD217" s="3" t="e">
        <f>VLOOKUP(K217,'Assessment Details'!$O$45:$P$48,2,FALSE)</f>
        <v>#N/A</v>
      </c>
      <c r="AE217" s="3" t="e">
        <f>VLOOKUP(R217,'Assessment Details'!$O$45:$P$48,2,FALSE)</f>
        <v>#N/A</v>
      </c>
      <c r="AF217" s="3" t="e">
        <f>VLOOKUP(Y217,'Assessment Details'!$O$45:$P$48,2,FALSE)</f>
        <v>#N/A</v>
      </c>
      <c r="AI217" s="70"/>
      <c r="AJ217" s="679" t="s">
        <v>404</v>
      </c>
      <c r="AK217" s="70"/>
      <c r="AL217" s="70"/>
      <c r="AM217" s="70"/>
      <c r="AN217" s="70"/>
      <c r="AO217" s="70"/>
      <c r="AP217" s="70"/>
      <c r="AS217" s="23" t="str">
        <f t="shared" si="23"/>
        <v>N/A</v>
      </c>
      <c r="AT217" s="23" t="str">
        <f t="shared" si="24"/>
        <v>N/A</v>
      </c>
      <c r="AU217" s="23" t="str">
        <f t="shared" si="25"/>
        <v>N/A</v>
      </c>
      <c r="AV217" s="23"/>
      <c r="AW217" s="23"/>
      <c r="AX217" s="23"/>
      <c r="AZ217" s="648"/>
    </row>
    <row r="218" spans="1:52" ht="34.5" customHeight="1" x14ac:dyDescent="0.25">
      <c r="A218" s="1091">
        <v>209</v>
      </c>
      <c r="B218" s="1092" t="s">
        <v>829</v>
      </c>
      <c r="C218" s="1106" t="s">
        <v>829</v>
      </c>
      <c r="D218" s="837" t="s">
        <v>256</v>
      </c>
      <c r="E218" s="340" t="str">
        <f>VLOOKUP(D218,Poeng!$B$10:$Q$251,Poeng!D$1,FALSE)</f>
        <v>Inn 09 - Mat 06: FutureBuilt criteria set for circular buildings, point 2.3 reuse of building components</v>
      </c>
      <c r="F218" s="122">
        <f>Inn09_credits</f>
        <v>1</v>
      </c>
      <c r="G218" s="43"/>
      <c r="H218" s="123">
        <f>Inn09_cont</f>
        <v>0</v>
      </c>
      <c r="I218" s="129" t="str">
        <f>Inn09_minstd</f>
        <v>N/A</v>
      </c>
      <c r="J218" s="80"/>
      <c r="K218" s="281"/>
      <c r="L218" s="749"/>
      <c r="M218" s="829"/>
      <c r="N218" s="83"/>
      <c r="O218" s="123">
        <f>VLOOKUP(D218,Poeng!$B$10:$BB$251,Poeng!AE$1,FALSE)</f>
        <v>0</v>
      </c>
      <c r="P218" s="123" t="str">
        <f>VLOOKUP(D218,Poeng!$B$10:$BG$251,Poeng!BG$1,FALSE)</f>
        <v>N/A</v>
      </c>
      <c r="Q218" s="755"/>
      <c r="R218" s="756"/>
      <c r="S218" s="749"/>
      <c r="T218" s="319"/>
      <c r="U218" s="83"/>
      <c r="V218" s="123">
        <f>VLOOKUP(D218,Poeng!$B$10:$BB$251,Poeng!AF$1,FALSE)</f>
        <v>0</v>
      </c>
      <c r="W218" s="123" t="str">
        <f>VLOOKUP(D218,Poeng!$B$10:$BJ$251,Poeng!BJ$1,FALSE)</f>
        <v>N/A</v>
      </c>
      <c r="X218" s="81"/>
      <c r="Y218" s="80"/>
      <c r="Z218" s="749"/>
      <c r="AA218" s="133"/>
      <c r="AB218" s="648" t="s">
        <v>15</v>
      </c>
      <c r="AC218" s="107">
        <f t="shared" si="28"/>
        <v>1</v>
      </c>
      <c r="AD218" s="3" t="e">
        <f>VLOOKUP(K218,'Assessment Details'!$O$45:$P$48,2,FALSE)</f>
        <v>#N/A</v>
      </c>
      <c r="AE218" s="3" t="e">
        <f>VLOOKUP(R218,'Assessment Details'!$O$45:$P$48,2,FALSE)</f>
        <v>#N/A</v>
      </c>
      <c r="AF218" s="3" t="e">
        <f>VLOOKUP(Y218,'Assessment Details'!$O$45:$P$48,2,FALSE)</f>
        <v>#N/A</v>
      </c>
      <c r="AI218" s="70"/>
      <c r="AJ218" s="679" t="s">
        <v>343</v>
      </c>
      <c r="AK218" s="70"/>
      <c r="AL218" s="70"/>
      <c r="AM218" s="70"/>
      <c r="AN218" s="70"/>
      <c r="AO218" s="70"/>
      <c r="AP218" s="70"/>
      <c r="AS218" s="23" t="str">
        <f t="shared" si="23"/>
        <v>N/A</v>
      </c>
      <c r="AT218" s="23" t="str">
        <f t="shared" si="24"/>
        <v>N/A</v>
      </c>
      <c r="AU218" s="23" t="str">
        <f t="shared" si="25"/>
        <v>N/A</v>
      </c>
      <c r="AV218" s="23"/>
      <c r="AW218" s="23"/>
      <c r="AX218" s="23"/>
      <c r="AZ218" s="648"/>
    </row>
    <row r="219" spans="1:52" x14ac:dyDescent="0.25">
      <c r="A219" s="1091">
        <v>210</v>
      </c>
      <c r="B219" s="1092" t="s">
        <v>829</v>
      </c>
      <c r="C219" s="1105" t="s">
        <v>829</v>
      </c>
      <c r="D219" s="837" t="s">
        <v>476</v>
      </c>
      <c r="E219" s="318" t="str">
        <f>VLOOKUP(D219,Poeng!$B$10:$Q$251,Poeng!D$1,FALSE)</f>
        <v xml:space="preserve">Inn 10 - Wst 01: Especially low amount of construction waste </v>
      </c>
      <c r="F219" s="724">
        <f>Inn10_credits</f>
        <v>1</v>
      </c>
      <c r="G219" s="43"/>
      <c r="H219" s="123">
        <f>Inn10_cont</f>
        <v>0</v>
      </c>
      <c r="I219" s="129" t="str">
        <f>Inn10_minstd</f>
        <v>N/A</v>
      </c>
      <c r="J219" s="80"/>
      <c r="K219" s="281"/>
      <c r="L219" s="749"/>
      <c r="M219" s="829"/>
      <c r="N219" s="83"/>
      <c r="O219" s="123">
        <f>VLOOKUP(D219,Poeng!$B$10:$BB$251,Poeng!AE$1,FALSE)</f>
        <v>0</v>
      </c>
      <c r="P219" s="123" t="str">
        <f>VLOOKUP(D219,Poeng!$B$10:$BG$251,Poeng!BG$1,FALSE)</f>
        <v>N/A</v>
      </c>
      <c r="Q219" s="755"/>
      <c r="R219" s="756"/>
      <c r="S219" s="749"/>
      <c r="T219" s="319"/>
      <c r="U219" s="83"/>
      <c r="V219" s="123">
        <f>VLOOKUP(D219,Poeng!$B$10:$BB$251,Poeng!AF$1,FALSE)</f>
        <v>0</v>
      </c>
      <c r="W219" s="123" t="str">
        <f>VLOOKUP(D219,Poeng!$B$10:$BJ$251,Poeng!BJ$1,FALSE)</f>
        <v>N/A</v>
      </c>
      <c r="X219" s="81"/>
      <c r="Y219" s="80"/>
      <c r="Z219" s="749"/>
      <c r="AA219" s="133"/>
      <c r="AB219" s="725"/>
      <c r="AC219" s="107">
        <f t="shared" si="28"/>
        <v>1</v>
      </c>
      <c r="AD219" s="3" t="e">
        <f>VLOOKUP(K219,'Assessment Details'!$O$45:$P$48,2,FALSE)</f>
        <v>#N/A</v>
      </c>
      <c r="AE219" s="3" t="e">
        <f>VLOOKUP(R219,'Assessment Details'!$O$45:$P$48,2,FALSE)</f>
        <v>#N/A</v>
      </c>
      <c r="AF219" s="3" t="e">
        <f>VLOOKUP(Y219,'Assessment Details'!$O$45:$P$48,2,FALSE)</f>
        <v>#N/A</v>
      </c>
      <c r="AI219" s="70"/>
      <c r="AJ219" s="679"/>
      <c r="AK219" s="70"/>
      <c r="AL219" s="70"/>
      <c r="AM219" s="70"/>
      <c r="AN219" s="70"/>
      <c r="AO219" s="70"/>
      <c r="AP219" s="70"/>
      <c r="AS219" s="23"/>
      <c r="AT219" s="23"/>
      <c r="AU219" s="23"/>
      <c r="AV219" s="23"/>
      <c r="AW219" s="23"/>
      <c r="AX219" s="23"/>
      <c r="AZ219" s="725"/>
    </row>
    <row r="220" spans="1:52" x14ac:dyDescent="0.25">
      <c r="A220" s="1091">
        <v>211</v>
      </c>
      <c r="B220" s="1092" t="s">
        <v>829</v>
      </c>
      <c r="C220" s="1105" t="s">
        <v>829</v>
      </c>
      <c r="D220" s="837" t="s">
        <v>477</v>
      </c>
      <c r="E220" s="318" t="str">
        <f>VLOOKUP(D220,Poeng!$B$10:$Q$251,Poeng!D$1,FALSE)</f>
        <v>Inn 11 - LE 02: Wider sustainability for the site</v>
      </c>
      <c r="F220" s="724">
        <f>Inn11_credits</f>
        <v>1</v>
      </c>
      <c r="G220" s="43"/>
      <c r="H220" s="123">
        <f>Inn11_cont</f>
        <v>0</v>
      </c>
      <c r="I220" s="129" t="str">
        <f>Inn11_minstd</f>
        <v>N/A</v>
      </c>
      <c r="J220" s="80"/>
      <c r="K220" s="281"/>
      <c r="L220" s="749"/>
      <c r="M220" s="829"/>
      <c r="N220" s="83"/>
      <c r="O220" s="123">
        <f>VLOOKUP(D220,Poeng!$B$10:$BB$251,Poeng!AE$1,FALSE)</f>
        <v>0</v>
      </c>
      <c r="P220" s="123" t="str">
        <f>VLOOKUP(D220,Poeng!$B$10:$BG$251,Poeng!BG$1,FALSE)</f>
        <v>N/A</v>
      </c>
      <c r="Q220" s="755"/>
      <c r="R220" s="756"/>
      <c r="S220" s="749"/>
      <c r="T220" s="319"/>
      <c r="U220" s="83"/>
      <c r="V220" s="123">
        <f>VLOOKUP(D220,Poeng!$B$10:$BB$251,Poeng!AF$1,FALSE)</f>
        <v>0</v>
      </c>
      <c r="W220" s="123" t="str">
        <f>VLOOKUP(D220,Poeng!$B$10:$BJ$251,Poeng!BJ$1,FALSE)</f>
        <v>N/A</v>
      </c>
      <c r="X220" s="81"/>
      <c r="Y220" s="80"/>
      <c r="Z220" s="749"/>
      <c r="AA220" s="133"/>
      <c r="AB220" s="725"/>
      <c r="AC220" s="107">
        <f t="shared" si="28"/>
        <v>1</v>
      </c>
      <c r="AD220" s="3" t="e">
        <f>VLOOKUP(K220,'Assessment Details'!$O$45:$P$48,2,FALSE)</f>
        <v>#N/A</v>
      </c>
      <c r="AE220" s="3" t="e">
        <f>VLOOKUP(R220,'Assessment Details'!$O$45:$P$48,2,FALSE)</f>
        <v>#N/A</v>
      </c>
      <c r="AF220" s="3" t="e">
        <f>VLOOKUP(Y220,'Assessment Details'!$O$45:$P$48,2,FALSE)</f>
        <v>#N/A</v>
      </c>
      <c r="AI220" s="70"/>
      <c r="AJ220" s="679"/>
      <c r="AK220" s="70"/>
      <c r="AL220" s="70"/>
      <c r="AM220" s="70"/>
      <c r="AN220" s="70"/>
      <c r="AO220" s="70"/>
      <c r="AP220" s="70"/>
      <c r="AS220" s="23"/>
      <c r="AT220" s="23"/>
      <c r="AU220" s="23"/>
      <c r="AV220" s="23"/>
      <c r="AW220" s="23"/>
      <c r="AX220" s="23"/>
      <c r="AZ220" s="725"/>
    </row>
    <row r="221" spans="1:52" x14ac:dyDescent="0.25">
      <c r="A221" s="1091">
        <v>212</v>
      </c>
      <c r="B221" s="1092" t="s">
        <v>829</v>
      </c>
      <c r="C221" s="1105" t="s">
        <v>829</v>
      </c>
      <c r="D221" s="837" t="s">
        <v>478</v>
      </c>
      <c r="E221" s="318" t="str">
        <f>VLOOKUP(D221,Poeng!$B$10:$Q$251,Poeng!D$1,FALSE)</f>
        <v>Inn 12 - LE 04: Significant net gain of biodiversity</v>
      </c>
      <c r="F221" s="724">
        <f>Inn12_credits</f>
        <v>1</v>
      </c>
      <c r="G221" s="43"/>
      <c r="H221" s="123">
        <f>Inn12_cont</f>
        <v>0</v>
      </c>
      <c r="I221" s="129" t="str">
        <f>Inn12_minstd</f>
        <v>N/A</v>
      </c>
      <c r="J221" s="80"/>
      <c r="K221" s="281"/>
      <c r="L221" s="749"/>
      <c r="M221" s="829"/>
      <c r="N221" s="83"/>
      <c r="O221" s="123">
        <f>VLOOKUP(D221,Poeng!$B$10:$BB$251,Poeng!AE$1,FALSE)</f>
        <v>0</v>
      </c>
      <c r="P221" s="123" t="str">
        <f>VLOOKUP(D221,Poeng!$B$10:$BG$251,Poeng!BG$1,FALSE)</f>
        <v>N/A</v>
      </c>
      <c r="Q221" s="755"/>
      <c r="R221" s="756"/>
      <c r="S221" s="749"/>
      <c r="T221" s="319"/>
      <c r="U221" s="83"/>
      <c r="V221" s="123">
        <f>VLOOKUP(D221,Poeng!$B$10:$BB$251,Poeng!AF$1,FALSE)</f>
        <v>0</v>
      </c>
      <c r="W221" s="123" t="str">
        <f>VLOOKUP(D221,Poeng!$B$10:$BJ$251,Poeng!BJ$1,FALSE)</f>
        <v>N/A</v>
      </c>
      <c r="X221" s="81"/>
      <c r="Y221" s="80"/>
      <c r="Z221" s="749"/>
      <c r="AA221" s="133"/>
      <c r="AB221" s="725"/>
      <c r="AC221" s="107">
        <f t="shared" si="28"/>
        <v>1</v>
      </c>
      <c r="AD221" s="3" t="e">
        <f>VLOOKUP(K221,'Assessment Details'!$O$45:$P$48,2,FALSE)</f>
        <v>#N/A</v>
      </c>
      <c r="AE221" s="3" t="e">
        <f>VLOOKUP(R221,'Assessment Details'!$O$45:$P$48,2,FALSE)</f>
        <v>#N/A</v>
      </c>
      <c r="AF221" s="3" t="e">
        <f>VLOOKUP(Y221,'Assessment Details'!$O$45:$P$48,2,FALSE)</f>
        <v>#N/A</v>
      </c>
      <c r="AI221" s="70"/>
      <c r="AJ221" s="679"/>
      <c r="AK221" s="70"/>
      <c r="AL221" s="70"/>
      <c r="AM221" s="70"/>
      <c r="AN221" s="70"/>
      <c r="AO221" s="70"/>
      <c r="AP221" s="70"/>
      <c r="AS221" s="23"/>
      <c r="AT221" s="23"/>
      <c r="AU221" s="23"/>
      <c r="AV221" s="23"/>
      <c r="AW221" s="23"/>
      <c r="AX221" s="23"/>
      <c r="AZ221" s="725"/>
    </row>
    <row r="222" spans="1:52" x14ac:dyDescent="0.25">
      <c r="A222" s="1091">
        <v>213</v>
      </c>
      <c r="B222" s="1092" t="s">
        <v>829</v>
      </c>
      <c r="C222" s="1105" t="s">
        <v>829</v>
      </c>
      <c r="D222" s="837" t="s">
        <v>479</v>
      </c>
      <c r="E222" s="318" t="str">
        <f>VLOOKUP(D222,Poeng!$B$10:$Q$251,Poeng!D$1,FALSE)</f>
        <v>Inn 13 - LE 06: Responding to climate change</v>
      </c>
      <c r="F222" s="724">
        <f>Inn13_credits</f>
        <v>1</v>
      </c>
      <c r="G222" s="43"/>
      <c r="H222" s="123">
        <f>Inn13_cont</f>
        <v>0</v>
      </c>
      <c r="I222" s="129" t="str">
        <f>Inn13_minstd</f>
        <v>N/A</v>
      </c>
      <c r="J222" s="80"/>
      <c r="K222" s="281"/>
      <c r="L222" s="749"/>
      <c r="M222" s="829"/>
      <c r="N222" s="83"/>
      <c r="O222" s="123">
        <f>VLOOKUP(D222,Poeng!$B$10:$BB$251,Poeng!AE$1,FALSE)</f>
        <v>0</v>
      </c>
      <c r="P222" s="123" t="str">
        <f>VLOOKUP(D222,Poeng!$B$10:$BG$251,Poeng!BG$1,FALSE)</f>
        <v>N/A</v>
      </c>
      <c r="Q222" s="755"/>
      <c r="R222" s="756"/>
      <c r="S222" s="749"/>
      <c r="T222" s="319"/>
      <c r="U222" s="83"/>
      <c r="V222" s="123">
        <f>VLOOKUP(D222,Poeng!$B$10:$BB$251,Poeng!AF$1,FALSE)</f>
        <v>0</v>
      </c>
      <c r="W222" s="123" t="str">
        <f>VLOOKUP(D222,Poeng!$B$10:$BJ$251,Poeng!BJ$1,FALSE)</f>
        <v>N/A</v>
      </c>
      <c r="X222" s="81"/>
      <c r="Y222" s="80"/>
      <c r="Z222" s="749"/>
      <c r="AA222" s="133"/>
      <c r="AB222" s="725"/>
      <c r="AC222" s="107">
        <f t="shared" si="28"/>
        <v>1</v>
      </c>
      <c r="AD222" s="3" t="e">
        <f>VLOOKUP(K222,'Assessment Details'!$O$45:$P$48,2,FALSE)</f>
        <v>#N/A</v>
      </c>
      <c r="AE222" s="3" t="e">
        <f>VLOOKUP(R222,'Assessment Details'!$O$45:$P$48,2,FALSE)</f>
        <v>#N/A</v>
      </c>
      <c r="AF222" s="3" t="e">
        <f>VLOOKUP(Y222,'Assessment Details'!$O$45:$P$48,2,FALSE)</f>
        <v>#N/A</v>
      </c>
      <c r="AI222" s="70"/>
      <c r="AJ222" s="679"/>
      <c r="AK222" s="70"/>
      <c r="AL222" s="70"/>
      <c r="AM222" s="70"/>
      <c r="AN222" s="70"/>
      <c r="AO222" s="70"/>
      <c r="AP222" s="70"/>
      <c r="AS222" s="23"/>
      <c r="AT222" s="23"/>
      <c r="AU222" s="23"/>
      <c r="AV222" s="23"/>
      <c r="AW222" s="23"/>
      <c r="AX222" s="23"/>
      <c r="AZ222" s="725"/>
    </row>
    <row r="223" spans="1:52" x14ac:dyDescent="0.25">
      <c r="A223" s="1091">
        <v>214</v>
      </c>
      <c r="B223" s="1092" t="s">
        <v>829</v>
      </c>
      <c r="C223" s="1095" t="s">
        <v>829</v>
      </c>
      <c r="D223" s="837" t="s">
        <v>701</v>
      </c>
      <c r="E223" s="318" t="str">
        <f>VLOOKUP(D223,Poeng!$B$10:$Q$251,Poeng!D$1,FALSE)</f>
        <v>Inn 14 - LE 08: Wider approach to surface water management</v>
      </c>
      <c r="F223" s="724">
        <f>Poeng!AA230</f>
        <v>1</v>
      </c>
      <c r="G223" s="43"/>
      <c r="H223" s="876">
        <f>Poeng!AD230</f>
        <v>0</v>
      </c>
      <c r="I223" s="877" t="str">
        <f>Poeng!BD230</f>
        <v>N/A</v>
      </c>
      <c r="J223" s="80"/>
      <c r="K223" s="281"/>
      <c r="L223" s="749"/>
      <c r="M223" s="829"/>
      <c r="N223" s="83"/>
      <c r="O223" s="123">
        <f>VLOOKUP(D223,Poeng!$B$10:$BB$251,Poeng!AE$1,FALSE)</f>
        <v>0</v>
      </c>
      <c r="P223" s="123" t="str">
        <f>VLOOKUP(D223,Poeng!$B$10:$BG$251,Poeng!BG$1,FALSE)</f>
        <v>N/A</v>
      </c>
      <c r="Q223" s="755"/>
      <c r="R223" s="756"/>
      <c r="S223" s="749"/>
      <c r="T223" s="319"/>
      <c r="U223" s="83"/>
      <c r="V223" s="123">
        <f>VLOOKUP(D223,Poeng!$B$10:$BB$251,Poeng!AF$1,FALSE)</f>
        <v>0</v>
      </c>
      <c r="W223" s="123" t="str">
        <f>VLOOKUP(D223,Poeng!$B$10:$BJ$251,Poeng!BJ$1,FALSE)</f>
        <v>N/A</v>
      </c>
      <c r="X223" s="81"/>
      <c r="Y223" s="80"/>
      <c r="Z223" s="749"/>
      <c r="AA223" s="133"/>
      <c r="AB223" s="725"/>
      <c r="AC223" s="107">
        <f t="shared" si="28"/>
        <v>1</v>
      </c>
      <c r="AD223" s="3" t="e">
        <f>VLOOKUP(K223,'Assessment Details'!$O$45:$P$48,2,FALSE)</f>
        <v>#N/A</v>
      </c>
      <c r="AE223" s="3" t="e">
        <f>VLOOKUP(R223,'Assessment Details'!$O$45:$P$48,2,FALSE)</f>
        <v>#N/A</v>
      </c>
      <c r="AF223" s="3" t="e">
        <f>VLOOKUP(Y223,'Assessment Details'!$O$45:$P$48,2,FALSE)</f>
        <v>#N/A</v>
      </c>
      <c r="AI223" s="70"/>
      <c r="AJ223" s="679"/>
      <c r="AK223" s="70"/>
      <c r="AL223" s="70"/>
      <c r="AM223" s="70"/>
      <c r="AN223" s="70"/>
      <c r="AO223" s="70"/>
      <c r="AP223" s="70"/>
      <c r="AS223" s="23"/>
      <c r="AT223" s="23"/>
      <c r="AU223" s="23"/>
      <c r="AV223" s="23"/>
      <c r="AW223" s="23"/>
      <c r="AX223" s="23"/>
      <c r="AZ223" s="725"/>
    </row>
    <row r="224" spans="1:52" ht="15" customHeight="1" thickBot="1" x14ac:dyDescent="0.3">
      <c r="A224" s="1091">
        <v>215</v>
      </c>
      <c r="B224" s="1092" t="s">
        <v>829</v>
      </c>
      <c r="C224" s="1096" t="s">
        <v>829</v>
      </c>
      <c r="D224" s="837" t="s">
        <v>895</v>
      </c>
      <c r="E224" s="341" t="s">
        <v>86</v>
      </c>
      <c r="F224" s="125">
        <f>Inn_Credits</f>
        <v>10</v>
      </c>
      <c r="G224" s="131"/>
      <c r="H224" s="126">
        <f>Inn_cont_tot</f>
        <v>0</v>
      </c>
      <c r="I224" s="881" t="str">
        <f>"Credits achieved: "&amp;Inn_tot_user</f>
        <v>Credits achieved: 0</v>
      </c>
      <c r="J224" s="134"/>
      <c r="K224" s="282"/>
      <c r="L224" s="757"/>
      <c r="M224" s="829"/>
      <c r="N224" s="383"/>
      <c r="O224" s="126">
        <f>VLOOKUP(D224,Poeng!$B$10:$BB$251,Poeng!AE$1,FALSE)</f>
        <v>0</v>
      </c>
      <c r="P224" s="881" t="str">
        <f>"Credits achieved: "&amp;Inn_d_user</f>
        <v>Credits achieved: 0</v>
      </c>
      <c r="Q224" s="758"/>
      <c r="R224" s="759"/>
      <c r="S224" s="757"/>
      <c r="T224" s="319"/>
      <c r="U224" s="383"/>
      <c r="V224" s="126">
        <f>VLOOKUP(D224,Poeng!$B$10:$BB$251,Poeng!AF$1,FALSE)</f>
        <v>0</v>
      </c>
      <c r="W224" s="881" t="str">
        <f>"Credits achieved: "&amp;Inn_c_user</f>
        <v>Credits achieved: 0</v>
      </c>
      <c r="X224" s="382"/>
      <c r="Y224" s="136"/>
      <c r="Z224" s="767"/>
      <c r="AA224" s="133"/>
      <c r="AB224" s="649"/>
      <c r="AC224" s="107">
        <f t="shared" si="28"/>
        <v>1</v>
      </c>
      <c r="AD224" s="276">
        <v>0</v>
      </c>
      <c r="AE224" s="276">
        <v>0</v>
      </c>
      <c r="AF224" s="276">
        <v>0</v>
      </c>
      <c r="AI224" s="70"/>
      <c r="AJ224" s="679" t="s">
        <v>86</v>
      </c>
      <c r="AK224" s="70"/>
      <c r="AL224" s="70"/>
      <c r="AM224" s="70"/>
      <c r="AN224" s="70"/>
      <c r="AO224" s="70"/>
      <c r="AP224" s="70"/>
      <c r="AS224" s="23" t="str">
        <f t="shared" si="23"/>
        <v>N/A</v>
      </c>
      <c r="AT224" s="23" t="str">
        <f t="shared" si="24"/>
        <v>N/A</v>
      </c>
      <c r="AU224" s="23" t="str">
        <f t="shared" si="25"/>
        <v>N/A</v>
      </c>
      <c r="AV224" s="23"/>
      <c r="AW224" s="23"/>
      <c r="AX224" s="23"/>
      <c r="AZ224" s="649"/>
    </row>
    <row r="225" spans="1:52" x14ac:dyDescent="0.25">
      <c r="A225" s="1091"/>
      <c r="B225" s="1092"/>
      <c r="C225" s="1087"/>
      <c r="D225" s="837"/>
      <c r="E225" s="45"/>
      <c r="F225" s="3"/>
      <c r="G225" s="3"/>
      <c r="H225" s="3"/>
      <c r="I225" s="3"/>
      <c r="J225" s="45"/>
      <c r="K225" s="3"/>
      <c r="L225" s="768"/>
      <c r="M225" s="830"/>
      <c r="N225" s="593"/>
      <c r="O225" s="593"/>
      <c r="P225" s="3"/>
      <c r="Q225" s="27"/>
      <c r="R225" s="768"/>
      <c r="S225" s="768"/>
      <c r="T225" s="277"/>
      <c r="U225" s="279"/>
      <c r="V225" s="279"/>
      <c r="W225" s="3"/>
      <c r="X225" s="280"/>
      <c r="Y225" s="279"/>
      <c r="Z225" s="768"/>
      <c r="AA225" s="277"/>
      <c r="AB225" s="277"/>
      <c r="AC225" s="107"/>
      <c r="AD225" s="278"/>
      <c r="AE225" s="278"/>
      <c r="AF225" s="278"/>
      <c r="AJ225" s="3"/>
    </row>
    <row r="226" spans="1:52" x14ac:dyDescent="0.25">
      <c r="A226" s="1093"/>
      <c r="B226" s="1094"/>
      <c r="C226" s="838"/>
      <c r="D226" s="838"/>
      <c r="E226" s="31"/>
      <c r="M226" s="121"/>
      <c r="N226" s="833"/>
      <c r="O226" s="833"/>
      <c r="P226" s="833"/>
      <c r="Q226" s="769"/>
      <c r="R226" s="769"/>
      <c r="S226" s="770"/>
      <c r="T226" s="271"/>
      <c r="U226" s="8"/>
      <c r="V226" s="8"/>
      <c r="W226" s="833"/>
      <c r="X226" s="8"/>
      <c r="Y226" s="8"/>
      <c r="Z226" s="770"/>
      <c r="AA226" s="271"/>
      <c r="AB226" s="271"/>
      <c r="AC226" s="107"/>
      <c r="AD226" s="1"/>
      <c r="AE226" s="1"/>
      <c r="AF226" s="1"/>
      <c r="AJ226" s="3"/>
    </row>
    <row r="227" spans="1:52" x14ac:dyDescent="0.25">
      <c r="A227" s="1094"/>
      <c r="B227" s="1094"/>
      <c r="C227" s="838"/>
      <c r="D227" s="838"/>
      <c r="E227" s="286"/>
      <c r="F227" s="18"/>
      <c r="M227" s="121"/>
      <c r="N227" s="833"/>
      <c r="O227" s="833"/>
      <c r="P227" s="833"/>
      <c r="Q227" s="769"/>
      <c r="R227" s="769"/>
      <c r="S227" s="771"/>
      <c r="T227" s="271"/>
      <c r="U227" s="8"/>
      <c r="V227" s="8"/>
      <c r="W227" s="833"/>
      <c r="X227" s="8"/>
      <c r="Y227" s="8"/>
      <c r="Z227" s="771"/>
      <c r="AA227" s="271"/>
      <c r="AB227" s="271"/>
      <c r="AC227" s="107"/>
      <c r="AD227" s="1"/>
      <c r="AE227" s="1"/>
      <c r="AF227" s="1"/>
      <c r="AJ227" s="3"/>
    </row>
    <row r="228" spans="1:52" x14ac:dyDescent="0.25">
      <c r="D228" s="19"/>
      <c r="E228" s="31"/>
      <c r="F228" s="26"/>
      <c r="M228" s="121"/>
      <c r="N228" s="833"/>
      <c r="O228" s="833"/>
      <c r="P228" s="833"/>
      <c r="Q228" s="769"/>
      <c r="R228" s="769"/>
      <c r="S228" s="770"/>
      <c r="T228" s="271"/>
      <c r="U228" s="8"/>
      <c r="V228" s="8"/>
      <c r="W228" s="8"/>
      <c r="X228" s="8"/>
      <c r="Y228" s="8"/>
      <c r="Z228" s="770"/>
      <c r="AA228" s="271"/>
      <c r="AB228" s="271"/>
      <c r="AC228" s="107"/>
      <c r="AD228" s="1"/>
      <c r="AE228" s="1"/>
      <c r="AF228" s="1"/>
      <c r="AJ228" s="3"/>
    </row>
    <row r="229" spans="1:52" x14ac:dyDescent="0.25">
      <c r="D229" s="19"/>
      <c r="E229" s="32"/>
      <c r="F229" s="18"/>
      <c r="M229" s="121"/>
      <c r="N229" s="833"/>
      <c r="O229" s="833"/>
      <c r="P229" s="833"/>
      <c r="Q229" s="769"/>
      <c r="R229" s="769"/>
      <c r="S229" s="771"/>
      <c r="T229" s="271"/>
      <c r="U229" s="8"/>
      <c r="V229" s="8"/>
      <c r="W229" s="8"/>
      <c r="X229" s="8"/>
      <c r="Y229" s="8"/>
      <c r="Z229" s="771"/>
      <c r="AA229" s="271"/>
      <c r="AB229" s="271"/>
      <c r="AC229" s="107"/>
      <c r="AD229" s="1"/>
      <c r="AE229" s="1"/>
      <c r="AF229" s="1"/>
      <c r="AJ229" s="3"/>
    </row>
    <row r="230" spans="1:52" x14ac:dyDescent="0.25">
      <c r="D230" s="19"/>
      <c r="E230" s="31"/>
      <c r="F230" s="26"/>
      <c r="M230" s="121"/>
      <c r="N230" s="833"/>
      <c r="O230" s="833"/>
      <c r="P230" s="833"/>
      <c r="Q230" s="769"/>
      <c r="R230" s="769"/>
      <c r="S230" s="770"/>
      <c r="T230" s="271"/>
      <c r="U230" s="8"/>
      <c r="V230" s="8"/>
      <c r="W230" s="8"/>
      <c r="X230" s="8"/>
      <c r="Y230" s="8"/>
      <c r="Z230" s="770"/>
      <c r="AA230" s="271"/>
      <c r="AB230" s="271"/>
      <c r="AC230" s="107"/>
      <c r="AD230" s="27"/>
      <c r="AE230" s="27"/>
      <c r="AF230" s="27"/>
      <c r="AG230" s="27"/>
      <c r="AH230" s="27"/>
      <c r="AI230" s="27"/>
      <c r="AJ230" s="3"/>
      <c r="AY230" s="27"/>
      <c r="AZ230" s="27"/>
    </row>
    <row r="231" spans="1:52" x14ac:dyDescent="0.25">
      <c r="D231" s="19"/>
      <c r="M231" s="121"/>
      <c r="N231" s="833"/>
      <c r="O231" s="833"/>
      <c r="P231" s="833"/>
      <c r="Q231" s="769"/>
      <c r="R231" s="769"/>
      <c r="S231" s="769"/>
      <c r="T231" s="271"/>
      <c r="U231" s="8"/>
      <c r="V231" s="8"/>
      <c r="W231" s="8"/>
      <c r="X231" s="8"/>
      <c r="Y231" s="8"/>
      <c r="Z231" s="769"/>
      <c r="AA231" s="271"/>
      <c r="AB231" s="271"/>
      <c r="AC231" s="107"/>
      <c r="AD231" s="1"/>
      <c r="AE231" s="1"/>
      <c r="AF231" s="1"/>
      <c r="AJ231" s="27"/>
      <c r="AK231" s="27"/>
      <c r="AL231" s="27"/>
      <c r="AM231" s="27"/>
      <c r="AN231" s="27"/>
      <c r="AO231" s="27"/>
      <c r="AP231" s="27"/>
      <c r="AS231" s="27"/>
      <c r="AT231" s="27"/>
      <c r="AU231" s="27"/>
      <c r="AV231" s="27"/>
      <c r="AW231" s="27"/>
      <c r="AX231" s="27"/>
    </row>
    <row r="232" spans="1:52" x14ac:dyDescent="0.25">
      <c r="D232" s="19"/>
      <c r="M232" s="121"/>
      <c r="N232" s="833"/>
      <c r="O232" s="833"/>
      <c r="P232" s="833"/>
      <c r="Q232" s="769"/>
      <c r="R232" s="769"/>
      <c r="S232" s="769"/>
      <c r="T232" s="271"/>
      <c r="U232" s="8"/>
      <c r="V232" s="8"/>
      <c r="W232" s="8"/>
      <c r="X232" s="8"/>
      <c r="Y232" s="8"/>
      <c r="Z232" s="769"/>
      <c r="AA232" s="271"/>
      <c r="AB232" s="271"/>
      <c r="AC232" s="107"/>
      <c r="AD232" s="1"/>
      <c r="AE232" s="1"/>
      <c r="AF232" s="1"/>
      <c r="AJ232" s="3"/>
    </row>
    <row r="233" spans="1:52" x14ac:dyDescent="0.25">
      <c r="D233" s="19"/>
      <c r="M233" s="121"/>
      <c r="N233" s="833"/>
      <c r="O233" s="833"/>
      <c r="P233" s="833"/>
      <c r="Q233" s="769"/>
      <c r="R233" s="769"/>
      <c r="S233" s="769"/>
      <c r="T233" s="271"/>
      <c r="U233" s="8"/>
      <c r="V233" s="8"/>
      <c r="W233" s="8"/>
      <c r="X233" s="8"/>
      <c r="Y233" s="8"/>
      <c r="Z233" s="769"/>
      <c r="AA233" s="271"/>
      <c r="AB233" s="271"/>
      <c r="AC233" s="107"/>
      <c r="AD233" s="1"/>
      <c r="AE233" s="1"/>
      <c r="AF233" s="1"/>
      <c r="AJ233" s="3"/>
    </row>
    <row r="234" spans="1:52" hidden="1" x14ac:dyDescent="0.25">
      <c r="B234" s="837" t="s">
        <v>67</v>
      </c>
      <c r="C234" s="837"/>
      <c r="D234" s="837"/>
      <c r="E234" s="318" t="str">
        <f>Hea02_Crit1</f>
        <v xml:space="preserve">Pre-requisite: indoor air quality </v>
      </c>
      <c r="F234" s="122" t="str">
        <f>Hea02_Crit1_credits</f>
        <v>Yes/No</v>
      </c>
      <c r="G234" s="43"/>
      <c r="H234" s="123"/>
      <c r="I234" s="127" t="str">
        <f>Hea02_minst_crit</f>
        <v>Unclassified</v>
      </c>
      <c r="J234" s="80"/>
      <c r="K234" s="281" t="s">
        <v>298</v>
      </c>
      <c r="L234" s="749"/>
      <c r="M234" s="828"/>
      <c r="N234" s="83"/>
      <c r="O234" s="892"/>
      <c r="P234" s="892"/>
      <c r="Q234" s="755"/>
      <c r="R234" s="756"/>
      <c r="S234" s="749"/>
      <c r="T234" s="319"/>
      <c r="U234" s="83"/>
      <c r="V234" s="892"/>
      <c r="W234" s="892"/>
      <c r="X234" s="81"/>
      <c r="Y234" s="80"/>
      <c r="Z234" s="749"/>
      <c r="AA234" s="133"/>
      <c r="AB234" s="648" t="s">
        <v>15</v>
      </c>
      <c r="AC234" s="107">
        <f>AC45</f>
        <v>1</v>
      </c>
      <c r="AD234" s="3">
        <f>VLOOKUP(K234,'Assessment Details'!$O$45:$P$48,2,FALSE)</f>
        <v>3</v>
      </c>
      <c r="AE234" s="3" t="e">
        <f>VLOOKUP(R234,'Assessment Details'!$O$45:$P$48,2,FALSE)</f>
        <v>#N/A</v>
      </c>
      <c r="AF234" s="3" t="e">
        <f>VLOOKUP(Y234,'Assessment Details'!$O$45:$P$48,2,FALSE)</f>
        <v>#N/A</v>
      </c>
      <c r="AI234" s="70"/>
      <c r="AJ234" s="679" t="s">
        <v>264</v>
      </c>
      <c r="AK234" s="70"/>
      <c r="AL234" s="70"/>
      <c r="AM234" s="70"/>
      <c r="AN234" s="70"/>
      <c r="AO234" s="70"/>
      <c r="AP234" s="70"/>
      <c r="AS234" s="23" t="str">
        <f>IF($AJ$4=ais_no,AIS_NA,IF(AK234="",AIS_NA,AK234))</f>
        <v>N/A</v>
      </c>
      <c r="AT234" s="23" t="str">
        <f>IF($AJ$4=ais_no,AIS_NA,IF(AL234="",AIS_NA,AL234))</f>
        <v>N/A</v>
      </c>
      <c r="AU234" s="23" t="str">
        <f>IF($AJ$4=ais_no,AIS_NA,IF(AM234="",AIS_NA,AM234))</f>
        <v>N/A</v>
      </c>
      <c r="AV234" s="23"/>
      <c r="AW234" s="23"/>
      <c r="AX234" s="23"/>
      <c r="AZ234" s="648"/>
    </row>
    <row r="235" spans="1:52" hidden="1" x14ac:dyDescent="0.25">
      <c r="D235" s="19"/>
      <c r="M235" s="121"/>
      <c r="N235" s="833"/>
      <c r="O235" s="833"/>
      <c r="P235" s="833"/>
      <c r="Q235" s="769"/>
      <c r="R235" s="769"/>
      <c r="S235" s="769"/>
      <c r="T235" s="271"/>
      <c r="U235" s="8"/>
      <c r="V235" s="8"/>
      <c r="W235" s="8"/>
      <c r="X235" s="8"/>
      <c r="Y235" s="8"/>
      <c r="Z235" s="769"/>
      <c r="AA235" s="271"/>
      <c r="AB235" s="271"/>
      <c r="AC235" s="107"/>
      <c r="AD235" s="1"/>
      <c r="AE235" s="1"/>
      <c r="AF235" s="1"/>
      <c r="AJ235" s="3"/>
    </row>
    <row r="236" spans="1:52" hidden="1" x14ac:dyDescent="0.25">
      <c r="D236" s="19"/>
      <c r="M236" s="121"/>
      <c r="N236" s="833"/>
      <c r="O236" s="833"/>
      <c r="P236" s="833"/>
      <c r="Q236" s="769"/>
      <c r="R236" s="769"/>
      <c r="S236" s="769"/>
      <c r="T236" s="271"/>
      <c r="U236" s="8"/>
      <c r="V236" s="8"/>
      <c r="W236" s="8"/>
      <c r="X236" s="8"/>
      <c r="Y236" s="8"/>
      <c r="Z236" s="769"/>
      <c r="AA236" s="271"/>
      <c r="AB236" s="271"/>
      <c r="AC236" s="107"/>
      <c r="AD236" s="1"/>
      <c r="AE236" s="1"/>
      <c r="AF236" s="1"/>
      <c r="AJ236" s="3"/>
    </row>
    <row r="237" spans="1:52" hidden="1" x14ac:dyDescent="0.25">
      <c r="D237" s="19"/>
      <c r="M237" s="121"/>
      <c r="N237" s="833"/>
      <c r="O237" s="833"/>
      <c r="P237" s="833"/>
      <c r="Q237" s="769"/>
      <c r="R237" s="769"/>
      <c r="S237" s="769"/>
      <c r="T237" s="271"/>
      <c r="U237" s="8"/>
      <c r="V237" s="8"/>
      <c r="W237" s="8"/>
      <c r="X237" s="8"/>
      <c r="Y237" s="8"/>
      <c r="Z237" s="769"/>
      <c r="AA237" s="271"/>
      <c r="AB237" s="271"/>
      <c r="AC237" s="107"/>
      <c r="AD237" s="1"/>
      <c r="AE237" s="1"/>
      <c r="AF237" s="1"/>
      <c r="AJ237" s="3"/>
    </row>
    <row r="238" spans="1:52" hidden="1" x14ac:dyDescent="0.25">
      <c r="D238" s="19"/>
      <c r="M238" s="121"/>
      <c r="N238" s="833"/>
      <c r="O238" s="833"/>
      <c r="P238" s="833"/>
      <c r="Q238" s="769"/>
      <c r="R238" s="769"/>
      <c r="S238" s="769"/>
      <c r="T238" s="271"/>
      <c r="U238" s="8"/>
      <c r="V238" s="8"/>
      <c r="W238" s="8"/>
      <c r="X238" s="8"/>
      <c r="Y238" s="8"/>
      <c r="Z238" s="769"/>
      <c r="AA238" s="271"/>
      <c r="AB238" s="271"/>
      <c r="AC238" s="107"/>
      <c r="AD238" s="1"/>
      <c r="AE238" s="1"/>
      <c r="AF238" s="1"/>
      <c r="AJ238" s="3"/>
    </row>
    <row r="239" spans="1:52" hidden="1" x14ac:dyDescent="0.25">
      <c r="D239" s="19"/>
      <c r="M239" s="121"/>
      <c r="N239" s="833"/>
      <c r="O239" s="833"/>
      <c r="P239" s="833"/>
      <c r="Q239" s="769"/>
      <c r="R239" s="769"/>
      <c r="S239" s="769"/>
      <c r="T239" s="271"/>
      <c r="U239" s="8"/>
      <c r="V239" s="8"/>
      <c r="W239" s="8"/>
      <c r="X239" s="8"/>
      <c r="Y239" s="8"/>
      <c r="Z239" s="769"/>
      <c r="AA239" s="271"/>
      <c r="AB239" s="271"/>
      <c r="AC239" s="107"/>
      <c r="AD239" s="1"/>
      <c r="AE239" s="1"/>
      <c r="AF239" s="1"/>
      <c r="AJ239" s="3"/>
    </row>
    <row r="240" spans="1:52" hidden="1" x14ac:dyDescent="0.25">
      <c r="D240" s="19"/>
      <c r="M240" s="121"/>
      <c r="N240" s="833"/>
      <c r="O240" s="833"/>
      <c r="P240" s="833"/>
      <c r="Q240" s="769"/>
      <c r="R240" s="769"/>
      <c r="S240" s="769"/>
      <c r="T240" s="271"/>
      <c r="U240" s="8"/>
      <c r="V240" s="8"/>
      <c r="W240" s="8"/>
      <c r="X240" s="8"/>
      <c r="Y240" s="8"/>
      <c r="Z240" s="769"/>
      <c r="AA240" s="271"/>
      <c r="AB240" s="271"/>
      <c r="AC240" s="107"/>
      <c r="AD240" s="1"/>
      <c r="AE240" s="1"/>
      <c r="AF240" s="1"/>
      <c r="AJ240" s="3"/>
    </row>
    <row r="241" spans="1:58" hidden="1" x14ac:dyDescent="0.25">
      <c r="D241" s="19"/>
      <c r="M241" s="121"/>
      <c r="N241" s="833"/>
      <c r="O241" s="833"/>
      <c r="P241" s="833"/>
      <c r="Q241" s="769"/>
      <c r="R241" s="769"/>
      <c r="S241" s="769"/>
      <c r="T241" s="271"/>
      <c r="U241" s="8"/>
      <c r="V241" s="8"/>
      <c r="W241" s="8"/>
      <c r="X241" s="8"/>
      <c r="Y241" s="8"/>
      <c r="Z241" s="769"/>
      <c r="AA241" s="271"/>
      <c r="AB241" s="271"/>
      <c r="AC241" s="107"/>
      <c r="AD241" s="1"/>
      <c r="AE241" s="1"/>
      <c r="AF241" s="1"/>
      <c r="AJ241" s="3"/>
    </row>
    <row r="242" spans="1:58" hidden="1" x14ac:dyDescent="0.25">
      <c r="D242" s="19"/>
      <c r="M242" s="121"/>
      <c r="N242" s="833"/>
      <c r="O242" s="833"/>
      <c r="P242" s="833"/>
      <c r="Q242" s="769"/>
      <c r="R242" s="769"/>
      <c r="S242" s="769"/>
      <c r="T242" s="271"/>
      <c r="U242" s="8"/>
      <c r="V242" s="8"/>
      <c r="W242" s="8"/>
      <c r="X242" s="8"/>
      <c r="Y242" s="8"/>
      <c r="Z242" s="769"/>
      <c r="AA242" s="271"/>
      <c r="AB242" s="271"/>
      <c r="AC242" s="107"/>
      <c r="AD242" s="1"/>
      <c r="AE242" s="1"/>
      <c r="AF242" s="1"/>
      <c r="AJ242" s="3"/>
    </row>
    <row r="243" spans="1:58" hidden="1" x14ac:dyDescent="0.25">
      <c r="A243" s="1084">
        <v>3</v>
      </c>
      <c r="B243" s="837" t="s">
        <v>64</v>
      </c>
      <c r="C243" s="837"/>
      <c r="D243" s="837"/>
      <c r="E243" s="340" t="str">
        <f>Man01_Crit1</f>
        <v>Pre-requisite: early stage greenhouse gas calculation</v>
      </c>
      <c r="F243" s="122" t="str">
        <f>Man01_Crit1_credits</f>
        <v>Yes/No</v>
      </c>
      <c r="G243" s="43"/>
      <c r="H243" s="123"/>
      <c r="I243" s="129" t="str">
        <f>Man01_minstd</f>
        <v>Unclassified</v>
      </c>
      <c r="J243" s="80"/>
      <c r="K243" s="281" t="s">
        <v>298</v>
      </c>
      <c r="L243" s="749"/>
      <c r="M243" s="829"/>
      <c r="N243" s="83"/>
      <c r="O243" s="892"/>
      <c r="P243" s="892"/>
      <c r="Q243" s="755"/>
      <c r="R243" s="756"/>
      <c r="S243" s="749"/>
      <c r="T243" s="319"/>
      <c r="U243" s="83"/>
      <c r="V243" s="892"/>
      <c r="W243" s="892"/>
      <c r="X243" s="81"/>
      <c r="Y243" s="80"/>
      <c r="Z243" s="749"/>
      <c r="AA243" s="133"/>
      <c r="AB243" s="648"/>
      <c r="AC243" s="107">
        <f>AC11</f>
        <v>1</v>
      </c>
      <c r="AD243" s="3">
        <f>VLOOKUP(K243,'Assessment Details'!$O$45:$P$48,2,FALSE)</f>
        <v>3</v>
      </c>
      <c r="AE243" s="3" t="e">
        <f>VLOOKUP(R243,'Assessment Details'!$O$45:$P$48,2,FALSE)</f>
        <v>#N/A</v>
      </c>
      <c r="AF243" s="3" t="e">
        <f>VLOOKUP(Y243,'Assessment Details'!$O$45:$P$48,2,FALSE)</f>
        <v>#N/A</v>
      </c>
      <c r="AI243" s="70"/>
      <c r="AJ243" s="679"/>
      <c r="AK243" s="738"/>
      <c r="AL243" s="738"/>
      <c r="AM243" s="3"/>
      <c r="AN243" s="3"/>
      <c r="AO243" s="3"/>
      <c r="AP243" s="70"/>
      <c r="AS243" s="23"/>
      <c r="AT243" s="23"/>
      <c r="AU243" s="23"/>
      <c r="AV243" s="23"/>
      <c r="AW243" s="23"/>
      <c r="AX243" s="23"/>
      <c r="AZ243" s="648"/>
      <c r="BD243" s="18"/>
      <c r="BE243" s="18"/>
      <c r="BF243" s="18"/>
    </row>
    <row r="244" spans="1:58" hidden="1" x14ac:dyDescent="0.25">
      <c r="A244" s="1084">
        <v>6</v>
      </c>
      <c r="B244" s="837" t="s">
        <v>64</v>
      </c>
      <c r="C244" s="837"/>
      <c r="D244" s="837"/>
      <c r="E244" s="340" t="str">
        <f>Man03_Crit1</f>
        <v>Minimum req: legal and sustainable timber</v>
      </c>
      <c r="F244" s="122" t="str">
        <f>Man03_Crit1_credits</f>
        <v>Yes/No</v>
      </c>
      <c r="G244" s="745"/>
      <c r="H244" s="123"/>
      <c r="I244" s="127" t="str">
        <f>Man03_minstd_cri</f>
        <v>Unclassified</v>
      </c>
      <c r="J244" s="80"/>
      <c r="K244" s="281" t="s">
        <v>298</v>
      </c>
      <c r="L244" s="749"/>
      <c r="M244" s="828"/>
      <c r="N244" s="83"/>
      <c r="O244" s="892"/>
      <c r="P244" s="892"/>
      <c r="Q244" s="755"/>
      <c r="R244" s="756"/>
      <c r="S244" s="749"/>
      <c r="T244" s="319"/>
      <c r="U244" s="83"/>
      <c r="V244" s="892"/>
      <c r="W244" s="892"/>
      <c r="X244" s="81"/>
      <c r="Y244" s="80"/>
      <c r="Z244" s="749"/>
      <c r="AA244" s="133"/>
      <c r="AB244" s="648" t="s">
        <v>15</v>
      </c>
      <c r="AC244" s="107">
        <f>AC20</f>
        <v>1</v>
      </c>
      <c r="AD244" s="3">
        <f>VLOOKUP(K244,'Assessment Details'!$O$45:$P$48,2,FALSE)</f>
        <v>3</v>
      </c>
      <c r="AE244" s="3" t="e">
        <f>VLOOKUP(R244,'Assessment Details'!$O$45:$P$48,2,FALSE)</f>
        <v>#N/A</v>
      </c>
      <c r="AF244" s="3" t="e">
        <f>VLOOKUP(Y244,'Assessment Details'!$O$45:$P$48,2,FALSE)</f>
        <v>#N/A</v>
      </c>
      <c r="AI244" s="70"/>
      <c r="AJ244" s="679" t="s">
        <v>264</v>
      </c>
      <c r="AK244" s="70"/>
      <c r="AL244" s="70"/>
      <c r="AM244" s="70"/>
      <c r="AN244" s="70"/>
      <c r="AO244" s="70"/>
      <c r="AP244" s="70"/>
      <c r="AS244" s="23" t="str">
        <f>IF($AJ$4=ais_no,AIS_NA,IF(AK244="",AIS_NA,AK244))</f>
        <v>N/A</v>
      </c>
      <c r="AT244" s="23" t="str">
        <f>IF($AJ$4=ais_no,AIS_NA,IF(AL244="",AIS_NA,AL244))</f>
        <v>N/A</v>
      </c>
      <c r="AU244" s="23" t="str">
        <f>IF($AJ$4=ais_no,AIS_NA,IF(AM244="",AIS_NA,AM244))</f>
        <v>N/A</v>
      </c>
      <c r="AV244" s="23"/>
      <c r="AW244" s="23"/>
      <c r="AX244" s="23"/>
      <c r="AZ244" s="648"/>
    </row>
    <row r="245" spans="1:58" hidden="1" x14ac:dyDescent="0.25">
      <c r="A245" s="1084"/>
      <c r="B245" s="837"/>
      <c r="C245" s="837"/>
      <c r="D245" s="837"/>
      <c r="E245" s="340" t="str">
        <f>Man04_Crit1</f>
        <v>Pre-requisite: risk analysis</v>
      </c>
      <c r="F245" s="122" t="str">
        <f>Man04_Crit1_credits</f>
        <v>Yes/No</v>
      </c>
      <c r="G245" s="745"/>
      <c r="H245" s="123"/>
      <c r="I245" s="127" t="str">
        <f>Man04_minstd_cri</f>
        <v>N/A</v>
      </c>
      <c r="J245" s="80"/>
      <c r="K245" s="281" t="s">
        <v>298</v>
      </c>
      <c r="L245" s="749"/>
      <c r="M245" s="828"/>
      <c r="N245" s="83"/>
      <c r="O245" s="892"/>
      <c r="P245" s="892"/>
      <c r="Q245" s="755"/>
      <c r="R245" s="756"/>
      <c r="S245" s="749"/>
      <c r="T245" s="319"/>
      <c r="U245" s="83"/>
      <c r="V245" s="892"/>
      <c r="W245" s="892"/>
      <c r="X245" s="81"/>
      <c r="Y245" s="80"/>
      <c r="Z245" s="749"/>
      <c r="AA245" s="133"/>
      <c r="AB245" s="648"/>
      <c r="AC245" s="107">
        <f>IF(F245="",1,IF(F245=0,2,1))</f>
        <v>1</v>
      </c>
      <c r="AD245" s="3">
        <f>VLOOKUP(K245,'Assessment Details'!$O$45:$P$48,2,FALSE)</f>
        <v>3</v>
      </c>
      <c r="AE245" s="3" t="e">
        <f>VLOOKUP(R245,'Assessment Details'!$O$45:$P$48,2,FALSE)</f>
        <v>#N/A</v>
      </c>
      <c r="AF245" s="3" t="e">
        <f>VLOOKUP(Y245,'Assessment Details'!$O$45:$P$48,2,FALSE)</f>
        <v>#N/A</v>
      </c>
      <c r="AI245" s="70"/>
      <c r="AJ245" s="678"/>
      <c r="AK245" s="656"/>
      <c r="AL245" s="656"/>
      <c r="AM245" s="656"/>
      <c r="AN245" s="70"/>
      <c r="AO245" s="70"/>
      <c r="AP245" s="70"/>
      <c r="AS245" s="23"/>
      <c r="AT245" s="23"/>
      <c r="AU245" s="23"/>
      <c r="AV245" s="23"/>
      <c r="AW245" s="23"/>
      <c r="AX245" s="23"/>
      <c r="AY245" s="18"/>
      <c r="AZ245" s="648"/>
      <c r="BA245" s="18"/>
      <c r="BB245" s="18"/>
      <c r="BC245" s="18"/>
      <c r="BD245" s="18"/>
      <c r="BE245" s="18"/>
      <c r="BF245" s="18"/>
    </row>
    <row r="246" spans="1:58" hidden="1" x14ac:dyDescent="0.25">
      <c r="A246" s="1084">
        <v>9</v>
      </c>
      <c r="B246" s="837" t="s">
        <v>64</v>
      </c>
      <c r="C246" s="837"/>
      <c r="D246" s="837"/>
      <c r="E246" s="723" t="str">
        <f>Man05_Crit1</f>
        <v>Pre-requisite: statutory obligations fulfilled</v>
      </c>
      <c r="F246" s="122" t="str">
        <f>IF(ADBT0=ADBT12,'Assessment Details'!O61,Man05_Crit1_credits)</f>
        <v>Yes/No</v>
      </c>
      <c r="G246" s="43"/>
      <c r="H246" s="123"/>
      <c r="I246" s="129" t="str">
        <f>Man05_minstd_cri</f>
        <v>N/A</v>
      </c>
      <c r="J246" s="80"/>
      <c r="K246" s="281" t="s">
        <v>298</v>
      </c>
      <c r="L246" s="749"/>
      <c r="M246" s="829"/>
      <c r="N246" s="83"/>
      <c r="O246" s="892"/>
      <c r="P246" s="892"/>
      <c r="Q246" s="755"/>
      <c r="R246" s="756"/>
      <c r="S246" s="749"/>
      <c r="T246" s="319"/>
      <c r="U246" s="83"/>
      <c r="V246" s="892"/>
      <c r="W246" s="892"/>
      <c r="X246" s="81"/>
      <c r="Y246" s="80"/>
      <c r="Z246" s="749"/>
      <c r="AA246" s="133"/>
      <c r="AB246" s="648"/>
      <c r="AC246" s="107">
        <f>AC31</f>
        <v>1</v>
      </c>
      <c r="AD246" s="3">
        <f>VLOOKUP(K246,'Assessment Details'!$O$45:$P$48,2,FALSE)</f>
        <v>3</v>
      </c>
      <c r="AE246" s="3" t="e">
        <f>VLOOKUP(R246,'Assessment Details'!$O$45:$P$48,2,FALSE)</f>
        <v>#N/A</v>
      </c>
      <c r="AF246" s="3" t="e">
        <f>VLOOKUP(Y246,'Assessment Details'!$O$45:$P$48,2,FALSE)</f>
        <v>#N/A</v>
      </c>
      <c r="AI246" s="70"/>
      <c r="AJ246" s="679"/>
      <c r="AK246" s="738"/>
      <c r="AL246" s="738"/>
      <c r="AM246" s="3"/>
      <c r="AN246" s="3"/>
      <c r="AO246" s="3"/>
      <c r="AP246" s="70"/>
      <c r="AS246" s="23"/>
      <c r="AT246" s="23"/>
      <c r="AU246" s="23"/>
      <c r="AV246" s="23"/>
      <c r="AW246" s="23"/>
      <c r="AX246" s="23"/>
      <c r="AZ246" s="648"/>
      <c r="BD246" s="18"/>
      <c r="BE246" s="18"/>
      <c r="BF246" s="18"/>
    </row>
    <row r="247" spans="1:58" hidden="1" x14ac:dyDescent="0.25">
      <c r="D247" s="19"/>
      <c r="N247" s="834"/>
      <c r="O247" s="834"/>
      <c r="P247" s="834"/>
      <c r="AA247" s="82"/>
      <c r="AB247" s="82"/>
      <c r="AJ247" s="3"/>
    </row>
    <row r="248" spans="1:58" hidden="1" x14ac:dyDescent="0.25">
      <c r="A248" s="1084">
        <v>29</v>
      </c>
    </row>
    <row r="249" spans="1:58" hidden="1" x14ac:dyDescent="0.25">
      <c r="A249" s="1084">
        <v>24</v>
      </c>
      <c r="B249" s="837" t="s">
        <v>68</v>
      </c>
      <c r="C249" s="837"/>
      <c r="D249" s="837"/>
      <c r="E249" s="318" t="str">
        <f>Ene01_Crit1</f>
        <v>Minimum req: absence of environmental toxins</v>
      </c>
      <c r="F249" s="122" t="str">
        <f>Ene01_Crit1_credits</f>
        <v>Yes/No</v>
      </c>
      <c r="G249" s="43"/>
      <c r="H249" s="123"/>
      <c r="I249" s="129" t="str">
        <f>Ene01_minstd</f>
        <v>Unclassified</v>
      </c>
      <c r="J249" s="80"/>
      <c r="K249" s="281" t="s">
        <v>298</v>
      </c>
      <c r="L249" s="749"/>
      <c r="M249" s="829"/>
      <c r="N249" s="83"/>
      <c r="O249" s="892"/>
      <c r="P249" s="892"/>
      <c r="Q249" s="755"/>
      <c r="R249" s="756"/>
      <c r="S249" s="749"/>
      <c r="T249" s="319"/>
      <c r="U249" s="83"/>
      <c r="V249" s="892"/>
      <c r="W249" s="892"/>
      <c r="X249" s="81"/>
      <c r="Y249" s="80"/>
      <c r="Z249" s="749"/>
      <c r="AA249" s="133"/>
      <c r="AB249" s="648"/>
      <c r="AC249" s="107">
        <f>AC65</f>
        <v>1</v>
      </c>
      <c r="AD249" s="1">
        <f>VLOOKUP(K249,'Assessment Details'!$O$45:$P$48,2,FALSE)</f>
        <v>3</v>
      </c>
      <c r="AE249" s="1" t="e">
        <f>VLOOKUP(R249,'Assessment Details'!$O$45:$P$48,2,FALSE)</f>
        <v>#N/A</v>
      </c>
      <c r="AF249" s="1" t="e">
        <f>VLOOKUP(Y249,'Assessment Details'!$O$45:$P$48,2,FALSE)</f>
        <v>#N/A</v>
      </c>
      <c r="AI249" s="70"/>
      <c r="AJ249" s="679"/>
      <c r="AK249" s="738"/>
      <c r="AL249" s="738"/>
      <c r="AM249" s="3"/>
      <c r="AN249" s="3"/>
      <c r="AO249" s="3"/>
      <c r="AP249" s="70"/>
      <c r="AS249" s="23"/>
      <c r="AT249" s="23"/>
      <c r="AU249" s="23"/>
      <c r="AV249" s="23"/>
      <c r="AW249" s="23"/>
      <c r="AX249" s="23"/>
      <c r="AZ249" s="648"/>
    </row>
    <row r="250" spans="1:58" hidden="1" x14ac:dyDescent="0.25">
      <c r="A250" s="1084">
        <v>81</v>
      </c>
      <c r="B250" s="837" t="s">
        <v>69</v>
      </c>
      <c r="C250" s="837"/>
      <c r="D250" s="837"/>
      <c r="E250" s="318" t="str">
        <f>Tra01_Crit1</f>
        <v>Pre-requisite: ecological risks and opportunities</v>
      </c>
      <c r="F250" s="122" t="str">
        <f>Tra01_Crit1_credits</f>
        <v>Yes/No</v>
      </c>
      <c r="G250" s="43"/>
      <c r="H250" s="123"/>
      <c r="I250" s="129" t="str">
        <f>Tra01_minstd</f>
        <v>N/A</v>
      </c>
      <c r="J250" s="80"/>
      <c r="K250" s="281" t="s">
        <v>298</v>
      </c>
      <c r="L250" s="749"/>
      <c r="M250" s="829"/>
      <c r="N250" s="83"/>
      <c r="O250" s="892"/>
      <c r="P250" s="892"/>
      <c r="Q250" s="755"/>
      <c r="R250" s="756"/>
      <c r="S250" s="749"/>
      <c r="T250" s="319"/>
      <c r="U250" s="83"/>
      <c r="V250" s="892"/>
      <c r="W250" s="892"/>
      <c r="X250" s="81"/>
      <c r="Y250" s="80"/>
      <c r="Z250" s="749"/>
      <c r="AA250" s="133"/>
      <c r="AB250" s="648"/>
      <c r="AC250" s="107">
        <f>AC94</f>
        <v>1</v>
      </c>
      <c r="AD250" s="1">
        <f>VLOOKUP(K250,'Assessment Details'!$O$45:$P$48,2,FALSE)</f>
        <v>3</v>
      </c>
      <c r="AE250" s="1" t="e">
        <f>VLOOKUP(R250,'Assessment Details'!$O$45:$P$48,2,FALSE)</f>
        <v>#N/A</v>
      </c>
      <c r="AF250" s="1" t="e">
        <f>VLOOKUP(Y250,'Assessment Details'!$O$45:$P$48,2,FALSE)</f>
        <v>#N/A</v>
      </c>
      <c r="AI250" s="70"/>
      <c r="AJ250" s="679"/>
      <c r="AK250" s="738"/>
      <c r="AL250" s="738"/>
      <c r="AM250" s="3"/>
      <c r="AN250" s="3"/>
      <c r="AO250" s="3"/>
      <c r="AP250" s="70"/>
      <c r="AS250" s="23"/>
      <c r="AT250" s="23"/>
      <c r="AU250" s="23"/>
      <c r="AV250" s="23"/>
      <c r="AW250" s="23"/>
      <c r="AX250" s="23"/>
      <c r="AZ250" s="648"/>
    </row>
    <row r="251" spans="1:58" hidden="1" x14ac:dyDescent="0.25">
      <c r="D251" s="19"/>
      <c r="N251" s="834"/>
      <c r="O251" s="834"/>
      <c r="P251" s="834"/>
      <c r="AJ251" s="3"/>
    </row>
    <row r="252" spans="1:58" hidden="1" x14ac:dyDescent="0.25">
      <c r="A252" s="1084">
        <v>48</v>
      </c>
      <c r="B252" s="837" t="s">
        <v>70</v>
      </c>
      <c r="C252" s="837"/>
      <c r="D252" s="837"/>
      <c r="E252" s="340" t="str">
        <f>Mat01_Crit1</f>
        <v>Pre-requisite: managing negative impacts on ecology</v>
      </c>
      <c r="F252" s="122" t="str">
        <f>Mat01_Crit1_credits</f>
        <v>Yes/No</v>
      </c>
      <c r="G252" s="745"/>
      <c r="H252" s="123"/>
      <c r="I252" s="127" t="str">
        <f>Mat01_minstd</f>
        <v>N/A</v>
      </c>
      <c r="J252" s="80"/>
      <c r="K252" s="281" t="s">
        <v>298</v>
      </c>
      <c r="L252" s="749"/>
      <c r="M252" s="828"/>
      <c r="N252" s="83"/>
      <c r="O252" s="892"/>
      <c r="P252" s="892"/>
      <c r="Q252" s="755"/>
      <c r="R252" s="756"/>
      <c r="S252" s="749"/>
      <c r="T252" s="319"/>
      <c r="U252" s="83"/>
      <c r="V252" s="892"/>
      <c r="W252" s="892"/>
      <c r="X252" s="81"/>
      <c r="Y252" s="80"/>
      <c r="Z252" s="749"/>
      <c r="AA252" s="133"/>
      <c r="AB252" s="648" t="s">
        <v>15</v>
      </c>
      <c r="AC252" s="107">
        <f>AC117</f>
        <v>1</v>
      </c>
      <c r="AD252" s="3">
        <f>VLOOKUP(K252,'Assessment Details'!$O$45:$P$48,2,FALSE)</f>
        <v>3</v>
      </c>
      <c r="AE252" s="3" t="e">
        <f>VLOOKUP(R252,'Assessment Details'!$O$45:$P$48,2,FALSE)</f>
        <v>#N/A</v>
      </c>
      <c r="AF252" s="3" t="e">
        <f>VLOOKUP(Y252,'Assessment Details'!$O$45:$P$48,2,FALSE)</f>
        <v>#N/A</v>
      </c>
      <c r="AI252" s="70"/>
      <c r="AJ252" s="679" t="s">
        <v>264</v>
      </c>
      <c r="AK252" s="70"/>
      <c r="AL252" s="70"/>
      <c r="AM252" s="70"/>
      <c r="AN252" s="70"/>
      <c r="AO252" s="70"/>
      <c r="AP252" s="70"/>
      <c r="AS252" s="23" t="str">
        <f t="shared" ref="AS252" si="29">IF($AJ$4=ais_no,AIS_NA,IF(AK252="",AIS_NA,AK252))</f>
        <v>N/A</v>
      </c>
      <c r="AT252" s="23" t="str">
        <f t="shared" ref="AT252" si="30">IF($AJ$4=ais_no,AIS_NA,IF(AL252="",AIS_NA,AL252))</f>
        <v>N/A</v>
      </c>
      <c r="AU252" s="23" t="str">
        <f t="shared" ref="AU252" si="31">IF($AJ$4=ais_no,AIS_NA,IF(AM252="",AIS_NA,AM252))</f>
        <v>N/A</v>
      </c>
      <c r="AV252" s="23"/>
      <c r="AW252" s="23"/>
      <c r="AX252" s="23"/>
      <c r="AZ252" s="648"/>
    </row>
    <row r="253" spans="1:58" hidden="1" x14ac:dyDescent="0.25">
      <c r="A253" s="1084">
        <v>50</v>
      </c>
      <c r="B253" s="837" t="s">
        <v>70</v>
      </c>
      <c r="C253" s="837"/>
      <c r="D253" s="837"/>
      <c r="E253" s="340" t="str">
        <f>Mat02_Crit1</f>
        <v xml:space="preserve">Pre-requisite: suitably qualified acoustician </v>
      </c>
      <c r="F253" s="122" t="str">
        <f>Mat02_Crit1_credits</f>
        <v>Yes/No</v>
      </c>
      <c r="G253" s="43"/>
      <c r="H253" s="123"/>
      <c r="I253" s="127" t="str">
        <f>Mat02_minstd</f>
        <v>N/A</v>
      </c>
      <c r="J253" s="80"/>
      <c r="K253" s="281" t="s">
        <v>298</v>
      </c>
      <c r="L253" s="749"/>
      <c r="M253" s="829"/>
      <c r="N253" s="83"/>
      <c r="O253" s="892"/>
      <c r="P253" s="892"/>
      <c r="Q253" s="755"/>
      <c r="R253" s="756"/>
      <c r="S253" s="749"/>
      <c r="T253" s="319"/>
      <c r="U253" s="83"/>
      <c r="V253" s="892"/>
      <c r="W253" s="892"/>
      <c r="X253" s="81"/>
      <c r="Y253" s="80"/>
      <c r="Z253" s="749"/>
      <c r="AA253" s="133"/>
      <c r="AB253" s="648" t="s">
        <v>15</v>
      </c>
      <c r="AC253" s="107">
        <f>IF(F253="",1,IF(F253=0,2,1))</f>
        <v>1</v>
      </c>
      <c r="AD253" s="3">
        <f>VLOOKUP(K253,'Assessment Details'!$O$45:$P$48,2,FALSE)</f>
        <v>3</v>
      </c>
      <c r="AE253" s="3" t="e">
        <f>VLOOKUP(R253,'Assessment Details'!$O$45:$P$48,2,FALSE)</f>
        <v>#N/A</v>
      </c>
      <c r="AF253" s="3" t="e">
        <f>VLOOKUP(Y253,'Assessment Details'!$O$45:$P$48,2,FALSE)</f>
        <v>#N/A</v>
      </c>
      <c r="AI253" s="70"/>
      <c r="AJ253" s="679" t="s">
        <v>265</v>
      </c>
      <c r="AK253" s="70"/>
      <c r="AL253" s="70"/>
      <c r="AM253" s="70"/>
      <c r="AN253" s="70"/>
      <c r="AO253" s="70"/>
      <c r="AP253" s="70"/>
      <c r="AS253" s="23" t="str">
        <f t="shared" ref="AS253" si="32">IF($AJ$4=ais_no,AIS_NA,IF(AK253="",AIS_NA,AK253))</f>
        <v>N/A</v>
      </c>
      <c r="AT253" s="23" t="str">
        <f t="shared" ref="AT253" si="33">IF($AJ$4=ais_no,AIS_NA,IF(AL253="",AIS_NA,AL253))</f>
        <v>N/A</v>
      </c>
      <c r="AU253" s="23" t="str">
        <f t="shared" ref="AU253" si="34">IF($AJ$4=ais_no,AIS_NA,IF(AM253="",AIS_NA,AM253))</f>
        <v>N/A</v>
      </c>
      <c r="AV253" s="23"/>
      <c r="AW253" s="23"/>
      <c r="AX253" s="23"/>
      <c r="AZ253" s="648"/>
    </row>
    <row r="254" spans="1:58" hidden="1" x14ac:dyDescent="0.25">
      <c r="A254" s="1084">
        <v>52</v>
      </c>
      <c r="B254" s="837" t="s">
        <v>70</v>
      </c>
      <c r="C254" s="837"/>
      <c r="D254" s="837"/>
      <c r="E254" s="340" t="str">
        <f>Mat03_Crit1</f>
        <v>Minimum req: agricultural area / forest - criterion 2</v>
      </c>
      <c r="F254" s="122" t="str">
        <f>Mat03_Crit1_credits</f>
        <v>Yes/No</v>
      </c>
      <c r="G254" s="43"/>
      <c r="H254" s="123"/>
      <c r="I254" s="128" t="str">
        <f>Mat03_minstd</f>
        <v>Very Good</v>
      </c>
      <c r="J254" s="80"/>
      <c r="K254" s="281" t="s">
        <v>298</v>
      </c>
      <c r="L254" s="749"/>
      <c r="M254" s="829"/>
      <c r="N254" s="83"/>
      <c r="O254" s="892"/>
      <c r="P254" s="892"/>
      <c r="Q254" s="755"/>
      <c r="R254" s="756"/>
      <c r="S254" s="749"/>
      <c r="T254" s="319"/>
      <c r="U254" s="83"/>
      <c r="V254" s="892"/>
      <c r="W254" s="892"/>
      <c r="X254" s="81"/>
      <c r="Y254" s="80"/>
      <c r="Z254" s="749"/>
      <c r="AA254" s="133"/>
      <c r="AB254" s="648" t="s">
        <v>15</v>
      </c>
      <c r="AC254" s="107">
        <f>IF(F254="",1,IF(F254=0,2,1))</f>
        <v>1</v>
      </c>
      <c r="AD254" s="3">
        <f>VLOOKUP(K254,'Assessment Details'!$O$45:$P$48,2,FALSE)</f>
        <v>3</v>
      </c>
      <c r="AE254" s="3" t="e">
        <f>VLOOKUP(R254,'Assessment Details'!$O$45:$P$48,2,FALSE)</f>
        <v>#N/A</v>
      </c>
      <c r="AF254" s="3" t="e">
        <f>VLOOKUP(Y254,'Assessment Details'!$O$45:$P$48,2,FALSE)</f>
        <v>#N/A</v>
      </c>
      <c r="AI254" s="70"/>
      <c r="AJ254" s="679" t="s">
        <v>312</v>
      </c>
      <c r="AK254" s="70"/>
      <c r="AL254" s="70"/>
      <c r="AM254" s="70"/>
      <c r="AN254" s="70"/>
      <c r="AO254" s="70"/>
      <c r="AP254" s="70"/>
      <c r="AS254" s="23" t="str">
        <f>IF($AJ$4=ais_no,AIS_NA,IF(AK254="",AIS_NA,AK254))</f>
        <v>N/A</v>
      </c>
      <c r="AT254" s="23" t="str">
        <f>IF($AJ$4=ais_no,AIS_NA,IF(AL254="",AIS_NA,AL254))</f>
        <v>N/A</v>
      </c>
      <c r="AU254" s="23" t="str">
        <f>IF($AJ$4=ais_no,AIS_NA,IF(AM254="",AIS_NA,AM254))</f>
        <v>N/A</v>
      </c>
      <c r="AV254" s="23"/>
      <c r="AW254" s="23"/>
      <c r="AX254" s="23"/>
      <c r="AZ254" s="648"/>
    </row>
    <row r="255" spans="1:58" ht="15" hidden="1" customHeight="1" x14ac:dyDescent="0.25">
      <c r="A255" s="1084">
        <v>55</v>
      </c>
      <c r="B255" s="837" t="s">
        <v>70</v>
      </c>
      <c r="C255" s="837"/>
      <c r="D255" s="837"/>
      <c r="E255" s="835" t="str">
        <f>Mat06_Crit1</f>
        <v>Pre-requisite: statutory obligations, planning and site implementation</v>
      </c>
      <c r="F255" s="122" t="str">
        <f>Mat06_Crit1_credits</f>
        <v>Yes/No</v>
      </c>
      <c r="G255" s="43"/>
      <c r="H255" s="123"/>
      <c r="I255" s="127" t="str">
        <f>Mat06_minstd_cred</f>
        <v>N/A</v>
      </c>
      <c r="J255" s="80"/>
      <c r="K255" s="281" t="s">
        <v>298</v>
      </c>
      <c r="L255" s="749"/>
      <c r="M255" s="829"/>
      <c r="N255" s="83"/>
      <c r="O255" s="892"/>
      <c r="P255" s="892"/>
      <c r="Q255" s="755"/>
      <c r="R255" s="756"/>
      <c r="S255" s="749"/>
      <c r="T255" s="319"/>
      <c r="U255" s="83"/>
      <c r="V255" s="892"/>
      <c r="W255" s="892"/>
      <c r="X255" s="81"/>
      <c r="Y255" s="80"/>
      <c r="Z255" s="749"/>
      <c r="AA255" s="133"/>
      <c r="AB255" s="648" t="s">
        <v>15</v>
      </c>
      <c r="AC255" s="107">
        <f>IF(F255="",1,IF(F255=0,2,1))</f>
        <v>1</v>
      </c>
      <c r="AD255" s="3">
        <f>VLOOKUP(K255,'Assessment Details'!$O$45:$P$48,2,FALSE)</f>
        <v>3</v>
      </c>
      <c r="AE255" s="3" t="e">
        <f>VLOOKUP(R255,'Assessment Details'!$O$45:$P$48,2,FALSE)</f>
        <v>#N/A</v>
      </c>
      <c r="AF255" s="3" t="e">
        <f>VLOOKUP(Y255,'Assessment Details'!$O$45:$P$48,2,FALSE)</f>
        <v>#N/A</v>
      </c>
      <c r="AI255" s="70"/>
      <c r="AJ255" s="679" t="s">
        <v>265</v>
      </c>
      <c r="AK255" s="70"/>
      <c r="AL255" s="70"/>
      <c r="AM255" s="70"/>
      <c r="AN255" s="70"/>
      <c r="AO255" s="70"/>
      <c r="AP255" s="70"/>
      <c r="AS255" s="23" t="str">
        <f t="shared" ref="AS255" si="35">IF($AJ$4=ais_no,AIS_NA,IF(AK255="",AIS_NA,AK255))</f>
        <v>N/A</v>
      </c>
      <c r="AT255" s="23" t="str">
        <f t="shared" ref="AT255" si="36">IF($AJ$4=ais_no,AIS_NA,IF(AL255="",AIS_NA,AL255))</f>
        <v>N/A</v>
      </c>
      <c r="AU255" s="23" t="str">
        <f t="shared" ref="AU255" si="37">IF($AJ$4=ais_no,AIS_NA,IF(AM255="",AIS_NA,AM255))</f>
        <v>N/A</v>
      </c>
      <c r="AV255" s="23"/>
      <c r="AW255" s="23"/>
      <c r="AX255" s="23"/>
      <c r="AZ255" s="648"/>
    </row>
    <row r="256" spans="1:58" hidden="1" x14ac:dyDescent="0.25">
      <c r="A256" s="1084">
        <v>57</v>
      </c>
      <c r="B256" s="837" t="s">
        <v>70</v>
      </c>
      <c r="C256" s="837"/>
      <c r="D256" s="837"/>
      <c r="E256" s="835" t="str">
        <f>Mat07_Crit1</f>
        <v>Pre-requisite: flood risk assessment</v>
      </c>
      <c r="F256" s="122" t="str">
        <f>Mat07_Crit1_credits</f>
        <v>Yes/No</v>
      </c>
      <c r="G256" s="43"/>
      <c r="H256" s="123"/>
      <c r="I256" s="127" t="str" cm="1">
        <f t="array" ref="I256">Mat07_minstd_cred</f>
        <v>N/A</v>
      </c>
      <c r="J256" s="80"/>
      <c r="K256" s="281" t="s">
        <v>298</v>
      </c>
      <c r="L256" s="809"/>
      <c r="M256" s="829"/>
      <c r="N256" s="83"/>
      <c r="O256" s="892"/>
      <c r="P256" s="892"/>
      <c r="Q256" s="755"/>
      <c r="R256" s="756"/>
      <c r="S256" s="749"/>
      <c r="T256" s="319"/>
      <c r="U256" s="83"/>
      <c r="V256" s="892"/>
      <c r="W256" s="892"/>
      <c r="X256" s="81"/>
      <c r="Y256" s="80"/>
      <c r="Z256" s="749"/>
      <c r="AA256" s="133"/>
      <c r="AB256" s="648" t="s">
        <v>15</v>
      </c>
      <c r="AC256" s="107">
        <f>IF(F256="",1,IF(F256=0,2,1))</f>
        <v>1</v>
      </c>
      <c r="AD256" s="3">
        <f>VLOOKUP(K256,'Assessment Details'!$O$45:$P$48,2,FALSE)</f>
        <v>3</v>
      </c>
      <c r="AE256" s="3" t="e">
        <f>VLOOKUP(R256,'Assessment Details'!$O$45:$P$48,2,FALSE)</f>
        <v>#N/A</v>
      </c>
      <c r="AF256" s="3" t="e">
        <f>VLOOKUP(Y256,'Assessment Details'!$O$45:$P$48,2,FALSE)</f>
        <v>#N/A</v>
      </c>
      <c r="AI256" s="70"/>
      <c r="AJ256" s="679" t="s">
        <v>265</v>
      </c>
      <c r="AK256" s="70"/>
      <c r="AL256" s="70"/>
      <c r="AM256" s="70"/>
      <c r="AN256" s="70"/>
      <c r="AO256" s="70"/>
      <c r="AP256" s="70"/>
      <c r="AS256" s="23" t="str">
        <f t="shared" ref="AS256" si="38">IF($AJ$4=ais_no,AIS_NA,IF(AK256="",AIS_NA,AK256))</f>
        <v>N/A</v>
      </c>
      <c r="AT256" s="23" t="str">
        <f t="shared" ref="AT256" si="39">IF($AJ$4=ais_no,AIS_NA,IF(AL256="",AIS_NA,AL256))</f>
        <v>N/A</v>
      </c>
      <c r="AU256" s="23" t="str">
        <f t="shared" ref="AU256" si="40">IF($AJ$4=ais_no,AIS_NA,IF(AM256="",AIS_NA,AM256))</f>
        <v>N/A</v>
      </c>
      <c r="AV256" s="23"/>
      <c r="AW256" s="23"/>
      <c r="AX256" s="23"/>
      <c r="AZ256" s="648"/>
    </row>
    <row r="257" spans="1:52" hidden="1" x14ac:dyDescent="0.25">
      <c r="A257" s="1084">
        <v>62</v>
      </c>
      <c r="B257" s="837" t="s">
        <v>71</v>
      </c>
      <c r="C257" s="837"/>
      <c r="D257" s="837"/>
      <c r="E257" s="340" t="str">
        <f>Wst01_Crit1</f>
        <v>Pre-requisite: risk assessment and the "three- step strategy"</v>
      </c>
      <c r="F257" s="122" t="str">
        <f>Wst01_Crit1_credits</f>
        <v>Yes/No</v>
      </c>
      <c r="G257" s="43"/>
      <c r="H257" s="123"/>
      <c r="I257" s="127" t="str">
        <f>Wst01_minstd</f>
        <v>N/A</v>
      </c>
      <c r="J257" s="80"/>
      <c r="K257" s="281" t="s">
        <v>298</v>
      </c>
      <c r="L257" s="749"/>
      <c r="M257" s="828"/>
      <c r="N257" s="83"/>
      <c r="O257" s="892"/>
      <c r="P257" s="892"/>
      <c r="Q257" s="755"/>
      <c r="R257" s="756"/>
      <c r="S257" s="749"/>
      <c r="T257" s="319"/>
      <c r="U257" s="83"/>
      <c r="V257" s="892"/>
      <c r="W257" s="892"/>
      <c r="X257" s="81"/>
      <c r="Y257" s="80"/>
      <c r="Z257" s="749"/>
      <c r="AA257" s="133"/>
      <c r="AB257" s="648" t="s">
        <v>15</v>
      </c>
      <c r="AC257" s="107">
        <f>AC147</f>
        <v>1</v>
      </c>
      <c r="AD257" s="3">
        <f>VLOOKUP(K257,'Assessment Details'!$O$45:$P$48,2,FALSE)</f>
        <v>3</v>
      </c>
      <c r="AE257" s="3" t="e">
        <f>VLOOKUP(R257,'Assessment Details'!$O$45:$P$48,2,FALSE)</f>
        <v>#N/A</v>
      </c>
      <c r="AF257" s="3" t="e">
        <f>VLOOKUP(Y257,'Assessment Details'!$O$45:$P$48,2,FALSE)</f>
        <v>#N/A</v>
      </c>
      <c r="AI257" s="70"/>
      <c r="AJ257" s="679" t="s">
        <v>264</v>
      </c>
      <c r="AK257" s="70"/>
      <c r="AL257" s="70"/>
      <c r="AM257" s="70"/>
      <c r="AN257" s="70"/>
      <c r="AO257" s="70"/>
      <c r="AP257" s="70"/>
      <c r="AS257" s="23" t="str">
        <f>IF($AJ$4=ais_no,AIS_NA,IF(AK257="",AIS_NA,AK257))</f>
        <v>N/A</v>
      </c>
      <c r="AT257" s="23" t="str">
        <f>IF($AJ$4=ais_no,AIS_NA,IF(AL257="",AIS_NA,AL257))</f>
        <v>N/A</v>
      </c>
      <c r="AU257" s="23" t="str">
        <f>IF($AJ$4=ais_no,AIS_NA,IF(AM257="",AIS_NA,AM257))</f>
        <v>N/A</v>
      </c>
      <c r="AV257" s="23"/>
      <c r="AW257" s="23"/>
      <c r="AX257" s="23"/>
      <c r="AZ257" s="648"/>
    </row>
    <row r="258" spans="1:52" hidden="1" x14ac:dyDescent="0.25">
      <c r="D258" s="19"/>
      <c r="N258" s="834"/>
      <c r="O258" s="834"/>
      <c r="P258" s="834"/>
      <c r="AJ258" s="3"/>
    </row>
    <row r="259" spans="1:52" hidden="1" x14ac:dyDescent="0.25">
      <c r="D259" s="19"/>
      <c r="N259" s="834"/>
      <c r="O259" s="834"/>
      <c r="P259" s="834"/>
      <c r="AJ259" s="3"/>
    </row>
    <row r="260" spans="1:52" hidden="1" x14ac:dyDescent="0.25">
      <c r="D260" s="19"/>
      <c r="N260" s="834"/>
      <c r="O260" s="834"/>
      <c r="P260" s="834"/>
      <c r="AJ260" s="3"/>
    </row>
    <row r="261" spans="1:52" hidden="1" x14ac:dyDescent="0.25">
      <c r="N261" s="834"/>
      <c r="O261" s="834"/>
      <c r="P261" s="834"/>
      <c r="AJ261" s="3"/>
    </row>
    <row r="262" spans="1:52" hidden="1" x14ac:dyDescent="0.25">
      <c r="N262" s="834"/>
      <c r="O262" s="834"/>
      <c r="P262" s="834"/>
      <c r="AJ262" s="3"/>
    </row>
    <row r="263" spans="1:52" hidden="1" x14ac:dyDescent="0.25">
      <c r="N263" s="834"/>
      <c r="O263" s="834"/>
      <c r="P263" s="834"/>
      <c r="AJ263" s="3"/>
    </row>
    <row r="264" spans="1:52" hidden="1" x14ac:dyDescent="0.25">
      <c r="N264" s="834"/>
      <c r="O264" s="834"/>
      <c r="P264" s="834"/>
      <c r="AJ264" s="3"/>
    </row>
    <row r="265" spans="1:52" hidden="1" x14ac:dyDescent="0.25">
      <c r="N265" s="834"/>
      <c r="O265" s="834"/>
      <c r="P265" s="834"/>
      <c r="AJ265" s="3"/>
    </row>
    <row r="266" spans="1:52" hidden="1" x14ac:dyDescent="0.25">
      <c r="N266" s="834"/>
      <c r="O266" s="834"/>
      <c r="P266" s="834"/>
      <c r="AJ266" s="3"/>
    </row>
    <row r="267" spans="1:52" hidden="1" x14ac:dyDescent="0.25">
      <c r="N267" s="834"/>
      <c r="O267" s="834"/>
      <c r="P267" s="834"/>
      <c r="AJ267" s="3"/>
    </row>
    <row r="268" spans="1:52" hidden="1" x14ac:dyDescent="0.25">
      <c r="N268" s="834"/>
      <c r="O268" s="834"/>
      <c r="P268" s="834"/>
      <c r="AJ268" s="3"/>
    </row>
    <row r="269" spans="1:52" hidden="1" x14ac:dyDescent="0.25">
      <c r="N269" s="834"/>
      <c r="O269" s="834"/>
      <c r="P269" s="834"/>
      <c r="AJ269" s="3"/>
    </row>
    <row r="270" spans="1:52" hidden="1" x14ac:dyDescent="0.25">
      <c r="N270" s="834"/>
      <c r="O270" s="834"/>
      <c r="P270" s="834"/>
      <c r="AJ270" s="3"/>
    </row>
    <row r="271" spans="1:52" hidden="1" x14ac:dyDescent="0.25">
      <c r="N271" s="834"/>
      <c r="O271" s="834"/>
      <c r="P271" s="834"/>
      <c r="AJ271" s="3"/>
    </row>
    <row r="272" spans="1:52" hidden="1" x14ac:dyDescent="0.25">
      <c r="N272" s="834"/>
      <c r="O272" s="834"/>
      <c r="P272" s="834"/>
      <c r="AJ272" s="3"/>
    </row>
    <row r="273" spans="14:36" hidden="1" x14ac:dyDescent="0.25">
      <c r="N273" s="834"/>
      <c r="O273" s="834"/>
      <c r="P273" s="834"/>
      <c r="AJ273" s="3"/>
    </row>
    <row r="274" spans="14:36" hidden="1" x14ac:dyDescent="0.25">
      <c r="N274" s="834"/>
      <c r="O274" s="834"/>
      <c r="P274" s="834"/>
      <c r="AJ274" s="3"/>
    </row>
    <row r="275" spans="14:36" hidden="1" x14ac:dyDescent="0.25">
      <c r="N275" s="834"/>
      <c r="O275" s="834"/>
      <c r="P275" s="834"/>
      <c r="AJ275" s="3"/>
    </row>
    <row r="276" spans="14:36" hidden="1" x14ac:dyDescent="0.25">
      <c r="N276" s="834"/>
      <c r="O276" s="834"/>
      <c r="P276" s="834"/>
      <c r="AJ276" s="3"/>
    </row>
    <row r="277" spans="14:36" hidden="1" x14ac:dyDescent="0.25">
      <c r="N277" s="834"/>
      <c r="O277" s="834"/>
      <c r="P277" s="834"/>
      <c r="AJ277" s="3"/>
    </row>
    <row r="278" spans="14:36" hidden="1" x14ac:dyDescent="0.25">
      <c r="N278" s="834"/>
      <c r="O278" s="834"/>
      <c r="P278" s="834"/>
      <c r="AJ278" s="3"/>
    </row>
    <row r="279" spans="14:36" hidden="1" x14ac:dyDescent="0.25">
      <c r="N279" s="834"/>
      <c r="O279" s="834"/>
      <c r="P279" s="834"/>
      <c r="AJ279" s="3"/>
    </row>
    <row r="280" spans="14:36" hidden="1" x14ac:dyDescent="0.25">
      <c r="N280" s="834"/>
      <c r="O280" s="834"/>
      <c r="P280" s="834"/>
      <c r="AJ280" s="3"/>
    </row>
    <row r="281" spans="14:36" hidden="1" x14ac:dyDescent="0.25">
      <c r="N281" s="834"/>
      <c r="O281" s="834"/>
      <c r="P281" s="834"/>
      <c r="AJ281" s="3"/>
    </row>
    <row r="282" spans="14:36" hidden="1" x14ac:dyDescent="0.25">
      <c r="N282" s="834"/>
      <c r="O282" s="834"/>
      <c r="P282" s="834"/>
      <c r="AJ282" s="3"/>
    </row>
    <row r="283" spans="14:36" hidden="1" x14ac:dyDescent="0.25">
      <c r="N283" s="834"/>
      <c r="O283" s="834"/>
      <c r="P283" s="834"/>
      <c r="AJ283" s="3"/>
    </row>
    <row r="284" spans="14:36" hidden="1" x14ac:dyDescent="0.25">
      <c r="N284" s="834"/>
      <c r="O284" s="834"/>
      <c r="P284" s="834"/>
      <c r="AJ284" s="3"/>
    </row>
    <row r="285" spans="14:36" hidden="1" x14ac:dyDescent="0.25">
      <c r="N285" s="834"/>
      <c r="O285" s="834"/>
      <c r="P285" s="834"/>
      <c r="AJ285" s="3"/>
    </row>
    <row r="286" spans="14:36" hidden="1" x14ac:dyDescent="0.25">
      <c r="N286" s="834"/>
      <c r="O286" s="834"/>
      <c r="P286" s="834"/>
      <c r="AJ286" s="3"/>
    </row>
    <row r="287" spans="14:36" hidden="1" x14ac:dyDescent="0.25">
      <c r="N287" s="834"/>
      <c r="O287" s="834"/>
      <c r="P287" s="834"/>
      <c r="AJ287" s="3"/>
    </row>
    <row r="288" spans="14:36" hidden="1" x14ac:dyDescent="0.25">
      <c r="N288" s="834"/>
      <c r="O288" s="834"/>
      <c r="P288" s="834"/>
      <c r="AJ288" s="3"/>
    </row>
    <row r="289" spans="14:36" hidden="1" x14ac:dyDescent="0.25">
      <c r="N289" s="834"/>
      <c r="O289" s="834"/>
      <c r="P289" s="834"/>
      <c r="AJ289" s="3"/>
    </row>
    <row r="290" spans="14:36" hidden="1" x14ac:dyDescent="0.25">
      <c r="N290" s="834"/>
      <c r="O290" s="834"/>
      <c r="P290" s="834"/>
      <c r="AJ290" s="3"/>
    </row>
    <row r="291" spans="14:36" hidden="1" x14ac:dyDescent="0.25">
      <c r="N291" s="834"/>
      <c r="O291" s="834"/>
      <c r="P291" s="834"/>
      <c r="AJ291" s="3"/>
    </row>
    <row r="292" spans="14:36" hidden="1" x14ac:dyDescent="0.25">
      <c r="N292" s="834"/>
      <c r="O292" s="834"/>
      <c r="P292" s="834"/>
      <c r="AJ292" s="3"/>
    </row>
    <row r="293" spans="14:36" hidden="1" x14ac:dyDescent="0.25">
      <c r="N293" s="834"/>
      <c r="O293" s="834"/>
      <c r="P293" s="834"/>
      <c r="AJ293" s="3"/>
    </row>
    <row r="294" spans="14:36" hidden="1" x14ac:dyDescent="0.25">
      <c r="N294" s="834"/>
      <c r="O294" s="834"/>
      <c r="P294" s="834"/>
      <c r="AJ294" s="3"/>
    </row>
    <row r="295" spans="14:36" hidden="1" x14ac:dyDescent="0.25">
      <c r="N295" s="834"/>
      <c r="O295" s="834"/>
      <c r="P295" s="834"/>
      <c r="AJ295" s="3"/>
    </row>
    <row r="296" spans="14:36" hidden="1" x14ac:dyDescent="0.25">
      <c r="N296" s="834"/>
      <c r="O296" s="834"/>
      <c r="P296" s="834"/>
      <c r="AJ296" s="3"/>
    </row>
    <row r="297" spans="14:36" hidden="1" x14ac:dyDescent="0.25">
      <c r="N297" s="834"/>
      <c r="O297" s="834"/>
      <c r="P297" s="834"/>
      <c r="AJ297" s="3"/>
    </row>
    <row r="298" spans="14:36" hidden="1" x14ac:dyDescent="0.25">
      <c r="N298" s="834"/>
      <c r="O298" s="834"/>
      <c r="P298" s="834"/>
      <c r="AJ298" s="3"/>
    </row>
    <row r="299" spans="14:36" hidden="1" x14ac:dyDescent="0.25">
      <c r="N299" s="834"/>
      <c r="O299" s="834"/>
      <c r="P299" s="834"/>
      <c r="AJ299" s="3"/>
    </row>
    <row r="300" spans="14:36" hidden="1" x14ac:dyDescent="0.25">
      <c r="N300" s="834"/>
      <c r="O300" s="834"/>
      <c r="P300" s="834"/>
      <c r="AJ300" s="3"/>
    </row>
    <row r="301" spans="14:36" hidden="1" x14ac:dyDescent="0.25">
      <c r="N301" s="834"/>
      <c r="O301" s="834"/>
      <c r="P301" s="834"/>
      <c r="AJ301" s="3"/>
    </row>
    <row r="302" spans="14:36" hidden="1" x14ac:dyDescent="0.25">
      <c r="N302" s="834"/>
      <c r="O302" s="834"/>
      <c r="P302" s="834"/>
      <c r="AJ302" s="3"/>
    </row>
    <row r="303" spans="14:36" hidden="1" x14ac:dyDescent="0.25">
      <c r="N303" s="834"/>
      <c r="O303" s="834"/>
      <c r="P303" s="834"/>
      <c r="AJ303" s="3"/>
    </row>
    <row r="304" spans="14:36" hidden="1" x14ac:dyDescent="0.25">
      <c r="N304" s="834"/>
      <c r="O304" s="834"/>
      <c r="P304" s="834"/>
      <c r="AJ304" s="3"/>
    </row>
    <row r="305" spans="14:36" hidden="1" x14ac:dyDescent="0.25">
      <c r="N305" s="834"/>
      <c r="O305" s="834"/>
      <c r="P305" s="834"/>
      <c r="AJ305" s="3"/>
    </row>
    <row r="306" spans="14:36" hidden="1" x14ac:dyDescent="0.25">
      <c r="N306" s="834"/>
      <c r="O306" s="834"/>
      <c r="P306" s="834"/>
      <c r="AJ306" s="3"/>
    </row>
    <row r="307" spans="14:36" hidden="1" x14ac:dyDescent="0.25">
      <c r="N307" s="834"/>
      <c r="O307" s="834"/>
      <c r="P307" s="834"/>
      <c r="AJ307" s="3"/>
    </row>
    <row r="308" spans="14:36" hidden="1" x14ac:dyDescent="0.25">
      <c r="N308" s="834"/>
      <c r="O308" s="834"/>
      <c r="P308" s="834"/>
      <c r="AJ308" s="3"/>
    </row>
    <row r="309" spans="14:36" hidden="1" x14ac:dyDescent="0.25">
      <c r="N309" s="834"/>
      <c r="O309" s="834"/>
      <c r="P309" s="834"/>
      <c r="AJ309" s="3"/>
    </row>
    <row r="310" spans="14:36" hidden="1" x14ac:dyDescent="0.25">
      <c r="N310" s="834"/>
      <c r="O310" s="834"/>
      <c r="P310" s="834"/>
      <c r="AJ310" s="3"/>
    </row>
    <row r="311" spans="14:36" hidden="1" x14ac:dyDescent="0.25">
      <c r="N311" s="834"/>
      <c r="O311" s="834"/>
      <c r="P311" s="834"/>
      <c r="AJ311" s="3"/>
    </row>
    <row r="312" spans="14:36" hidden="1" x14ac:dyDescent="0.25">
      <c r="N312" s="834"/>
      <c r="O312" s="834"/>
      <c r="P312" s="834"/>
      <c r="AJ312" s="3"/>
    </row>
    <row r="313" spans="14:36" hidden="1" x14ac:dyDescent="0.25">
      <c r="N313" s="834"/>
      <c r="O313" s="834"/>
      <c r="P313" s="834"/>
      <c r="AJ313" s="3"/>
    </row>
    <row r="314" spans="14:36" hidden="1" x14ac:dyDescent="0.25">
      <c r="N314" s="834"/>
      <c r="O314" s="834"/>
      <c r="P314" s="834"/>
      <c r="AJ314" s="3"/>
    </row>
    <row r="315" spans="14:36" hidden="1" x14ac:dyDescent="0.25">
      <c r="N315" s="834"/>
      <c r="O315" s="834"/>
      <c r="P315" s="834"/>
      <c r="AJ315" s="3"/>
    </row>
    <row r="316" spans="14:36" hidden="1" x14ac:dyDescent="0.25">
      <c r="N316" s="834"/>
      <c r="O316" s="834"/>
      <c r="P316" s="834"/>
      <c r="AJ316" s="7"/>
    </row>
    <row r="317" spans="14:36" hidden="1" x14ac:dyDescent="0.25">
      <c r="N317" s="834"/>
      <c r="O317" s="834"/>
      <c r="P317" s="834"/>
    </row>
    <row r="318" spans="14:36" hidden="1" x14ac:dyDescent="0.25">
      <c r="N318" s="834"/>
      <c r="O318" s="834"/>
      <c r="P318" s="834"/>
    </row>
    <row r="319" spans="14:36" hidden="1" x14ac:dyDescent="0.25">
      <c r="N319" s="834"/>
      <c r="O319" s="834"/>
      <c r="P319" s="834"/>
    </row>
    <row r="320" spans="14:36" hidden="1" x14ac:dyDescent="0.25">
      <c r="N320" s="834"/>
      <c r="O320" s="834"/>
      <c r="P320" s="834"/>
    </row>
    <row r="321" spans="14:16" hidden="1" x14ac:dyDescent="0.25">
      <c r="N321" s="834"/>
      <c r="O321" s="834"/>
      <c r="P321" s="834"/>
    </row>
    <row r="322" spans="14:16" hidden="1" x14ac:dyDescent="0.25">
      <c r="N322" s="834"/>
      <c r="O322" s="834"/>
      <c r="P322" s="834"/>
    </row>
    <row r="323" spans="14:16" hidden="1" x14ac:dyDescent="0.25">
      <c r="N323" s="834"/>
      <c r="O323" s="834"/>
      <c r="P323" s="834"/>
    </row>
    <row r="324" spans="14:16" hidden="1" x14ac:dyDescent="0.25">
      <c r="N324" s="834"/>
      <c r="O324" s="834"/>
      <c r="P324" s="834"/>
    </row>
    <row r="325" spans="14:16" hidden="1" x14ac:dyDescent="0.25">
      <c r="N325" s="834"/>
      <c r="O325" s="834"/>
      <c r="P325" s="834"/>
    </row>
    <row r="326" spans="14:16" hidden="1" x14ac:dyDescent="0.25">
      <c r="N326" s="834"/>
      <c r="O326" s="834"/>
      <c r="P326" s="834"/>
    </row>
    <row r="327" spans="14:16" hidden="1" x14ac:dyDescent="0.25">
      <c r="N327" s="834"/>
      <c r="O327" s="834"/>
      <c r="P327" s="834"/>
    </row>
    <row r="328" spans="14:16" hidden="1" x14ac:dyDescent="0.25">
      <c r="N328" s="834"/>
      <c r="O328" s="834"/>
      <c r="P328" s="834"/>
    </row>
    <row r="329" spans="14:16" hidden="1" x14ac:dyDescent="0.25">
      <c r="N329" s="834"/>
      <c r="O329" s="834"/>
      <c r="P329" s="834"/>
    </row>
    <row r="330" spans="14:16" hidden="1" x14ac:dyDescent="0.25">
      <c r="N330" s="834"/>
      <c r="O330" s="834"/>
      <c r="P330" s="834"/>
    </row>
    <row r="331" spans="14:16" x14ac:dyDescent="0.25">
      <c r="N331" s="834"/>
      <c r="O331" s="834"/>
      <c r="P331" s="834"/>
    </row>
    <row r="332" spans="14:16" x14ac:dyDescent="0.25">
      <c r="N332" s="834"/>
      <c r="O332" s="834"/>
      <c r="P332" s="834"/>
    </row>
    <row r="333" spans="14:16" x14ac:dyDescent="0.25">
      <c r="N333" s="834"/>
      <c r="O333" s="834"/>
      <c r="P333" s="834"/>
    </row>
    <row r="334" spans="14:16" x14ac:dyDescent="0.25">
      <c r="N334" s="834"/>
      <c r="O334" s="834"/>
      <c r="P334" s="834"/>
    </row>
    <row r="335" spans="14:16" x14ac:dyDescent="0.25">
      <c r="N335" s="834"/>
      <c r="O335" s="834"/>
      <c r="P335" s="834"/>
    </row>
    <row r="336" spans="14:16" x14ac:dyDescent="0.25">
      <c r="N336" s="834"/>
      <c r="O336" s="834"/>
      <c r="P336" s="834"/>
    </row>
    <row r="337" spans="14:16" x14ac:dyDescent="0.25">
      <c r="N337" s="834"/>
      <c r="O337" s="834"/>
      <c r="P337" s="834"/>
    </row>
    <row r="338" spans="14:16" x14ac:dyDescent="0.25">
      <c r="N338" s="834"/>
      <c r="O338" s="834"/>
      <c r="P338" s="834"/>
    </row>
    <row r="339" spans="14:16" x14ac:dyDescent="0.25">
      <c r="N339" s="834"/>
      <c r="O339" s="834"/>
      <c r="P339" s="834"/>
    </row>
    <row r="340" spans="14:16" x14ac:dyDescent="0.25">
      <c r="N340" s="834"/>
      <c r="O340" s="834"/>
      <c r="P340" s="834"/>
    </row>
    <row r="341" spans="14:16" x14ac:dyDescent="0.25">
      <c r="N341" s="834"/>
      <c r="O341" s="834"/>
      <c r="P341" s="834"/>
    </row>
    <row r="342" spans="14:16" x14ac:dyDescent="0.25">
      <c r="N342" s="834"/>
      <c r="O342" s="834"/>
      <c r="P342" s="834"/>
    </row>
    <row r="343" spans="14:16" x14ac:dyDescent="0.25">
      <c r="N343" s="834"/>
      <c r="O343" s="834"/>
      <c r="P343" s="834"/>
    </row>
    <row r="344" spans="14:16" x14ac:dyDescent="0.25">
      <c r="N344" s="834"/>
      <c r="O344" s="834"/>
      <c r="P344" s="834"/>
    </row>
    <row r="345" spans="14:16" x14ac:dyDescent="0.25">
      <c r="N345" s="834"/>
      <c r="O345" s="834"/>
      <c r="P345" s="834"/>
    </row>
    <row r="346" spans="14:16" x14ac:dyDescent="0.25">
      <c r="N346" s="834"/>
      <c r="O346" s="834"/>
      <c r="P346" s="834"/>
    </row>
    <row r="347" spans="14:16" x14ac:dyDescent="0.25">
      <c r="N347" s="834"/>
      <c r="O347" s="834"/>
      <c r="P347" s="834"/>
    </row>
    <row r="348" spans="14:16" x14ac:dyDescent="0.25">
      <c r="N348" s="834"/>
      <c r="O348" s="834"/>
      <c r="P348" s="834"/>
    </row>
    <row r="383" spans="5:26" ht="15.75" x14ac:dyDescent="0.25">
      <c r="E383" s="6"/>
      <c r="F383" s="6"/>
      <c r="G383" s="6"/>
      <c r="H383" s="6"/>
      <c r="I383" s="6"/>
      <c r="J383" s="6"/>
      <c r="K383" s="6"/>
      <c r="L383" s="25"/>
      <c r="N383" s="773"/>
      <c r="O383" s="773"/>
      <c r="P383" s="773"/>
      <c r="Q383" s="773"/>
      <c r="R383" s="773"/>
      <c r="S383" s="773"/>
      <c r="U383" s="263"/>
      <c r="V383" s="263"/>
      <c r="W383" s="263"/>
      <c r="X383" s="263"/>
      <c r="Y383" s="263"/>
      <c r="Z383" s="773"/>
    </row>
  </sheetData>
  <sheetProtection algorithmName="SHA-512" hashValue="cuWwNf7fpe5cUGf1O1GIQ9RZN42KglvjVkElgskte1Wo4+5QE8b4cOeW0x/gElhv2AXqQU78g2Ao+I7rBf24Hg==" saltValue="zrrDiZPFaPr99hwAzDm1TQ==" spinCount="100000" sheet="1" formatCells="0" formatColumns="0" formatRows="0" selectLockedCells="1" sort="0" autoFilter="0"/>
  <protectedRanges>
    <protectedRange sqref="M11:N11 M17:N20 M27:N27 M31:N31 D11:F11 D17:D20 D27 D31 D36:O36 C40:D40 D41:D44 B37:O37 E12:F24 G12:K16 G18:K19 H11:K11 G21:K24 G28:K30 G32:K34 N12:N16 N21:N24 N28:N30 N32:N34 H17:K17 H20:K20 H27:K27 H31:K31 D35:N35 Z11:AB11 H38:K38 D65:F65 H65:K65 D94:F94 H94:K94 H103:K103 D117:F117 H117:K117 D147:F147 H147:K147 D162:F162 H162:K162 D193:F193 H193:K193 D45:F45 H45:K45 D50:F50 H50:K50 D54:F54 H54:K54 D57:F57 H57:K57 D60:F60 H60:K60 D72:F72 H72:K72 D76:F76 H76:K76 D79:F79 H79:K79 D82:F82 H82:K82 D86:F86 H86:K86 D89:F89 H89:K89 D97:F97 H97:K97 D106:F106 H106:K106 D108:F108 H108:K108 D112:F112 H112:K112 D121:F121 H121:K121 D125:F125 H125:K125 D129:F129 H129:K129 H135:K135 D140:F140 H140:K140 D153:F153 H153:K153 D155:F155 H155:K155 D157:F157 H157:K157 D165:F165 H165:K165 D169:F169 H169:K169 D172:F172 H172:K172 D176:F176 H176:K176 D180:F180 H180:K180 D182:F182 H182:K182 D185:F185 H185:K185 D198:F198 H198:K198 D201:F201 H201:K201 D204:F204 H204:K204 E40:K44 D51:K53 D58:K59 D61:K61 D73:K75 D77:K78 D80:K81 D87:K88 D90:K90 E95:K96 D107:K107 D109:K111 D113:K113 M103:O103 E120:K120 E137:K139 E141:K143 D154:K154 D156:K156 D158:K158 M147:O147 D181:K181 D199:K200 D202:K203 D205:K206 AC94:AF97 AC117:AF133 A248:A250 E46:K49 D55:K56 D118:K119 E122:K124 E126:K128 D166:K168 D170:K171 D173:K175 D177:K179 D183:K184 D62:O64 D91:O93 D100:O102 D114:O116 D144:O146 D159:O161 D190:O192 D207:O223 M38:O38 M117:O135 D130:K134 D194:K197 M193:O206 E27:F34 O27:O35 E25:K26 N25:O26 B11:C36 D83:K85 D98:K99 M94:O99 AC11:AF38 M162:O163 O11:P13 B224:O224 S212:V224 O14:O24 P14:P38 Z212:AF224 M65:O68 AA17:AB20 AA27:AB27 AA31:AB31 AA65:AB65 AA94:AB94 AA147:AB148 AA121:AB121 AA125:AB125 AA140:AB140 AA72:AB83 AA97:AB97 AA153:AB158 AA50:AB61 AA117:AB119 AA129:AB133 AA135:AB136 AA134:AF134 AA35:AB38 AA62:AF64 AA84:AF93 AA144:AF146 B225:AF225 Q11:R103 A9:AF10 A243:AF246 B234:AF234 A252:AF257 A226:AF229 B249:AF250 B38:F38 M40:O61 P40:P68 M39:P39 AC40:AF61 AA40:AB45 AA39:AF39 B39:K39 D186:K189 M189:O189 P189:P224 W189:W224 T189:V211 E149:K152 M153:O158 P153:R163 C41:C223 D163:K164 Q165:R224 M165:P188 M164:R164 X165:Y224 T165:W188 AA159:AF211 E66:K71 M70:O90 P70:P103 AC65:AF83 M69:P69 D103:F103 D104:K105 M105:O113 P105:R135 M104:R104 AA98:AF116 AC147:AF158 M148:R152 D148:K148 A11:A225 B40:B223 D135:F135 M137:O143 P137:R147 D136:K136 M136:R136 T11:Y164 AC135:AF143" name="Sortering"/>
    <protectedRange sqref="L38:L61 L103:L113 L193:L206 L11:L34 L65 L94:L99 L162:L189 L67:L90 L147:L158 L117:L143" name="Sortering_1"/>
    <protectedRange sqref="S11" name="Sortering_5"/>
    <protectedRange sqref="S20 S27 S31 S35:S37 S62:S64 S91:S93 S100:S102 S114:S116 S144:S146 S159:S161 S190:S192 S207:S211" name="Sortering_2"/>
    <protectedRange sqref="S38:S39 S65 S94 S103 S117 S147 S162 S193" name="Sortering_5_1"/>
    <protectedRange sqref="S12:S19 S28:S30 S32:S34 S40:S61 S194:S206 S21:S26 S66:S90 S95:S99 S163:S189 L66 Z66 S104:S113 S148:S158 S118:S143" name="Sortering_6_1"/>
    <protectedRange sqref="Z12:Z65 Z67:Z211" name="Sortering_3"/>
  </protectedRanges>
  <autoFilter ref="A9:AF225" xr:uid="{00000000-0009-0000-0000-000002000000}">
    <sortState xmlns:xlrd2="http://schemas.microsoft.com/office/spreadsheetml/2017/richdata2" ref="A10:AF225">
      <sortCondition ref="A9:A225"/>
    </sortState>
  </autoFilter>
  <mergeCells count="5">
    <mergeCell ref="AD8:AF8"/>
    <mergeCell ref="G3:K3"/>
    <mergeCell ref="N3:S3"/>
    <mergeCell ref="U3:Z3"/>
    <mergeCell ref="AB4:AB8"/>
  </mergeCells>
  <phoneticPr fontId="22" type="noConversion"/>
  <conditionalFormatting sqref="J209:K218 J144:K146 J190:K192 J10:K11 J35:K37 J100:K102 J243:K246 J252:K257 J62:K64 J91:K93 J114:K116 J159:K161 J194:K194 J249:K250 J234:K234 J170:K171 J27:K33 J85:K85 K132:K133">
    <cfRule type="expression" dxfId="4486" priority="4613">
      <formula>$AD10=4</formula>
    </cfRule>
    <cfRule type="expression" dxfId="4485" priority="4614">
      <formula>$AD10=3</formula>
    </cfRule>
    <cfRule type="expression" dxfId="4484" priority="4615">
      <formula>$AD10=2</formula>
    </cfRule>
    <cfRule type="expression" dxfId="4483" priority="4616">
      <formula>$AD10=1</formula>
    </cfRule>
  </conditionalFormatting>
  <conditionalFormatting sqref="Q209:R218 Q145:R146 Q191:R192 Q10:R11 Q17:R20 Q27:R27 Q35:R37 Q101:R102 Q31:R31 Q243:R246 Q252:R257 Q63:R64 Q92:R93 Q115:R116 Q160:R161 Q194:R194 Q249:R250 Q234:R234 Q170:R171 Q85:R85">
    <cfRule type="expression" dxfId="4482" priority="4609">
      <formula>$AE10=4</formula>
    </cfRule>
    <cfRule type="expression" dxfId="4481" priority="4610">
      <formula>$AE10=3</formula>
    </cfRule>
    <cfRule type="expression" dxfId="4480" priority="4611">
      <formula>$AE10=2</formula>
    </cfRule>
    <cfRule type="expression" dxfId="4479" priority="4612">
      <formula>$AE10=1</formula>
    </cfRule>
  </conditionalFormatting>
  <conditionalFormatting sqref="X209:Y218 X144:Y146 X190:Y192 X10:Y11 X17:Y20 X27:Y27 X35:Y37 X100:Y102 X31:Y31 X243:Y246 X252:Y257 X62:Y64 X91:Y93 X114:Y116 X159:Y161 X194:Y194 X249:Y250 X234:Y234 X170:Y171 X85:Y85">
    <cfRule type="expression" dxfId="4478" priority="4605">
      <formula>$AF10=4</formula>
    </cfRule>
    <cfRule type="expression" dxfId="4477" priority="4606">
      <formula>$AF10=3</formula>
    </cfRule>
    <cfRule type="expression" dxfId="4476" priority="4607">
      <formula>$AF10=2</formula>
    </cfRule>
    <cfRule type="expression" dxfId="4475" priority="4608">
      <formula>$AF10=1</formula>
    </cfRule>
  </conditionalFormatting>
  <conditionalFormatting sqref="J207:K208">
    <cfRule type="expression" dxfId="4474" priority="4517">
      <formula>$AD207=4</formula>
    </cfRule>
    <cfRule type="expression" dxfId="4473" priority="4518">
      <formula>$AD207=3</formula>
    </cfRule>
    <cfRule type="expression" dxfId="4472" priority="4519">
      <formula>$AD207=2</formula>
    </cfRule>
    <cfRule type="expression" dxfId="4471" priority="4520">
      <formula>$AD207=1</formula>
    </cfRule>
  </conditionalFormatting>
  <conditionalFormatting sqref="Q208:R208">
    <cfRule type="expression" dxfId="4470" priority="4513">
      <formula>$AE208=4</formula>
    </cfRule>
    <cfRule type="expression" dxfId="4469" priority="4514">
      <formula>$AE208=3</formula>
    </cfRule>
    <cfRule type="expression" dxfId="4468" priority="4515">
      <formula>$AE208=2</formula>
    </cfRule>
    <cfRule type="expression" dxfId="4467" priority="4516">
      <formula>$AE208=1</formula>
    </cfRule>
  </conditionalFormatting>
  <conditionalFormatting sqref="X207:Y208">
    <cfRule type="expression" dxfId="4466" priority="4509">
      <formula>$AF207=4</formula>
    </cfRule>
    <cfRule type="expression" dxfId="4465" priority="4510">
      <formula>$AF207=3</formula>
    </cfRule>
    <cfRule type="expression" dxfId="4464" priority="4511">
      <formula>$AF207=2</formula>
    </cfRule>
    <cfRule type="expression" dxfId="4463" priority="4512">
      <formula>$AF207=1</formula>
    </cfRule>
  </conditionalFormatting>
  <conditionalFormatting sqref="J224:K225">
    <cfRule type="expression" dxfId="4462" priority="4505">
      <formula>$AD224=4</formula>
    </cfRule>
    <cfRule type="expression" dxfId="4461" priority="4506">
      <formula>$AD224=3</formula>
    </cfRule>
    <cfRule type="expression" dxfId="4460" priority="4507">
      <formula>$AD224=2</formula>
    </cfRule>
    <cfRule type="expression" dxfId="4459" priority="4508">
      <formula>$AD224=1</formula>
    </cfRule>
  </conditionalFormatting>
  <conditionalFormatting sqref="Q225:R225">
    <cfRule type="expression" dxfId="4458" priority="4501">
      <formula>$AE225=4</formula>
    </cfRule>
    <cfRule type="expression" dxfId="4457" priority="4502">
      <formula>$AE225=3</formula>
    </cfRule>
    <cfRule type="expression" dxfId="4456" priority="4503">
      <formula>$AE225=2</formula>
    </cfRule>
    <cfRule type="expression" dxfId="4455" priority="4504">
      <formula>$AE225=1</formula>
    </cfRule>
  </conditionalFormatting>
  <conditionalFormatting sqref="X224:Y225">
    <cfRule type="expression" dxfId="4454" priority="4497">
      <formula>$AF224=4</formula>
    </cfRule>
    <cfRule type="expression" dxfId="4453" priority="4498">
      <formula>$AF224=3</formula>
    </cfRule>
    <cfRule type="expression" dxfId="4452" priority="4499">
      <formula>$AF224=2</formula>
    </cfRule>
    <cfRule type="expression" dxfId="4451" priority="4500">
      <formula>$AF224=1</formula>
    </cfRule>
  </conditionalFormatting>
  <conditionalFormatting sqref="G144:L146 G190:L192 Z224 G224:L224 G10:L10 N10:S10 N36:O37 G35:L37 N101:O102 AZ140 G100:L102 H11:K11 N18:N19 L219:L222 U10:Y10 U101:V102 Z212:Z218 AZ10:AZ11 AZ17:AZ20 AZ243 G243:L243 U243:Z243 S243:S244 AZ27 N243:R245 K244:K245 G244:G245 U244:W245 AZ35:AZ45 AZ245:AZ246 AZ31 N246:S246 U246:Z246 G246:L246 AZ50:AZ65 AZ72:AZ83 AZ249:AZ250 N249:S250 U249:Z250 G249:L250 U252:W252 AZ97 AZ121 G252 AZ129:AZ133 AZ125 U145:V146 N145:O146 U253:Z256 G253:L256 AZ144:AZ148 AZ252:AZ257 U257:W257 G257 N252:S257 G21:G24 G28:G30 G32:G34 H12:I24 N35 G62:L64 U63:V64 N63:O64 U92:V93 N92:O93 G91:L93 N115:O116 G114:L116 U115:V116 G159:L161 N160:O161 U160:V161 N191:O192 U191:V192 G207:L218 U208:V209 N208:O209 G194:L194 N194:O194 U194:V194 N234:P234 U234:W234 G234 AZ198:AZ224 N62 N91 N100 N114 N144 N159 N190 N207 AZ135:AZ136 H27:I34 AZ85:AZ94 AZ99:AZ119 AZ153:AZ194 O170:O171 V170:V171 H170:L171 G223:I223 L15:L24 J27:L33 Z10:Z11 O27:O35 V20 V27 V31 U35:V37 V17 X46:Y49 X51:Y53 X55:Y56 X58:Y59 H40:I61 X73:Y75 X77:Y78 X80:Y81 J85:L85 G85 N85:O85 U85:V85 X87:Y88 X107:Y107 X109:Y111 H105:I113 X122:Y124 X126:Y128 K132:K133 X137:Y139 X154:Y154 X156:Y156 H149:I151 X166:Y168 H163:I163 X173:Y175 X177:Y179 X181:Y181 X183:Y184 X199:Y200 X202:Y203 H198:I206 N210:N224 V195 U62 U91 U100 U114 U144 U159 U190 U207 U210:U224 X130:Y134 H118:I135 G196:L197 N196:O197 U196:V197 X83:Y85 H66:I68 H95:I99 S212:S223 Q191:R206 Q160:R163 Q115:R135 Q92:R99 Q63:R90 Q145:R147 Q101:R103 Q11:R61 X170:Y171 X205:Y224 X186:Y197 X158:Y163 X113:Y120 X90:Y96 X61:Y71 X141:Y147 X99:Y103 X16:Y44 Q208:R223 X11:Y14 Q224:S224 H172:I189 H153:I158 Q153:R158 H165:I169 Q165:R189 R164 H70:I90 X105:Y105 Q105:R113 X149:Y151 Q149:R151 Q137:R143 H137:I143">
    <cfRule type="expression" dxfId="4450" priority="4496">
      <formula>$AC10=2</formula>
    </cfRule>
  </conditionalFormatting>
  <conditionalFormatting sqref="G144:G146 G190:G192 G224 G10 G35:G37 G100:G102 G254 G62:G64 G91:G93 G114:G116 G159:G161 G207:G218 G194">
    <cfRule type="expression" dxfId="4449" priority="4493">
      <formula>G10&gt;F10</formula>
    </cfRule>
  </conditionalFormatting>
  <conditionalFormatting sqref="N145:O146 N191:O192 N224 N10:P10 N18:N19 N36:O37 N101:O102 N254:P254 N35 N63:O64 N92:O93 N115:O116 N160:O161 N208:O209 N194 N210:N218 N62 N91 N100 N114 N144 N159 N190 N207">
    <cfRule type="expression" dxfId="4448" priority="4492">
      <formula>N10&gt;F10</formula>
    </cfRule>
  </conditionalFormatting>
  <conditionalFormatting sqref="U145:V146 U191:V192 U10:W10 U36:V37 U101:V102 U254:W254 U35 U63:V64 U92:V93 U115:V116 U160:V161 U208:V209 U194 U210:U218 U85">
    <cfRule type="expression" dxfId="4447" priority="4491">
      <formula>U10&gt;F10</formula>
    </cfRule>
  </conditionalFormatting>
  <conditionalFormatting sqref="N4:P4">
    <cfRule type="expression" dxfId="4446" priority="4485">
      <formula>$S$8="No"</formula>
    </cfRule>
  </conditionalFormatting>
  <conditionalFormatting sqref="U4:W4">
    <cfRule type="expression" dxfId="4445" priority="4484">
      <formula>$Z$8="No"</formula>
    </cfRule>
  </conditionalFormatting>
  <conditionalFormatting sqref="AB10:AB11 AB17:AB20 AB27 AB31 AB35:AB38 AB50:AB65 AB72:AB83 AB97 AB121 AB125 AB129:AB133 AB140 AB144:AB148 AB135:AB136 AB85:AB94 AB99:AB119 AB252:AB257 AB249:AB250 AB234 AB243:AB246 AB153:AB224 AB40:AB45">
    <cfRule type="expression" dxfId="4444" priority="4419">
      <formula>$AJ$4="Nei"</formula>
    </cfRule>
    <cfRule type="expression" dxfId="4443" priority="4420">
      <formula>$AC10=2</formula>
    </cfRule>
  </conditionalFormatting>
  <conditionalFormatting sqref="AB4">
    <cfRule type="expression" dxfId="4442" priority="4417">
      <formula>$AJ$4=ais_no</formula>
    </cfRule>
  </conditionalFormatting>
  <conditionalFormatting sqref="O108">
    <cfRule type="expression" dxfId="4441" priority="2834">
      <formula>$AC108=2</formula>
    </cfRule>
  </conditionalFormatting>
  <conditionalFormatting sqref="J108:K108">
    <cfRule type="expression" dxfId="4440" priority="2836">
      <formula>$AC108=2</formula>
    </cfRule>
  </conditionalFormatting>
  <conditionalFormatting sqref="J219">
    <cfRule type="expression" dxfId="4439" priority="4291">
      <formula>$AD219=4</formula>
    </cfRule>
    <cfRule type="expression" dxfId="4438" priority="4292">
      <formula>$AD219=3</formula>
    </cfRule>
    <cfRule type="expression" dxfId="4437" priority="4293">
      <formula>$AD219=2</formula>
    </cfRule>
    <cfRule type="expression" dxfId="4436" priority="4294">
      <formula>$AD219=1</formula>
    </cfRule>
  </conditionalFormatting>
  <conditionalFormatting sqref="Q219:R219">
    <cfRule type="expression" dxfId="4435" priority="4287">
      <formula>$AE219=4</formula>
    </cfRule>
    <cfRule type="expression" dxfId="4434" priority="4288">
      <formula>$AE219=3</formula>
    </cfRule>
    <cfRule type="expression" dxfId="4433" priority="4289">
      <formula>$AE219=2</formula>
    </cfRule>
    <cfRule type="expression" dxfId="4432" priority="4290">
      <formula>$AE219=1</formula>
    </cfRule>
  </conditionalFormatting>
  <conditionalFormatting sqref="X219:Y219">
    <cfRule type="expression" dxfId="4431" priority="4283">
      <formula>$AF219=4</formula>
    </cfRule>
    <cfRule type="expression" dxfId="4430" priority="4284">
      <formula>$AF219=3</formula>
    </cfRule>
    <cfRule type="expression" dxfId="4429" priority="4285">
      <formula>$AF219=2</formula>
    </cfRule>
    <cfRule type="expression" dxfId="4428" priority="4286">
      <formula>$AF219=1</formula>
    </cfRule>
  </conditionalFormatting>
  <conditionalFormatting sqref="G219:J219">
    <cfRule type="expression" dxfId="4427" priority="4282">
      <formula>$AC219=2</formula>
    </cfRule>
  </conditionalFormatting>
  <conditionalFormatting sqref="G219">
    <cfRule type="expression" dxfId="4426" priority="4281">
      <formula>G219&gt;F219</formula>
    </cfRule>
  </conditionalFormatting>
  <conditionalFormatting sqref="N219">
    <cfRule type="expression" dxfId="4425" priority="4280">
      <formula>N219&gt;F219</formula>
    </cfRule>
  </conditionalFormatting>
  <conditionalFormatting sqref="U219">
    <cfRule type="expression" dxfId="4424" priority="4279">
      <formula>U219&gt;F219</formula>
    </cfRule>
  </conditionalFormatting>
  <conditionalFormatting sqref="J220">
    <cfRule type="expression" dxfId="4423" priority="4271">
      <formula>$AD220=4</formula>
    </cfRule>
    <cfRule type="expression" dxfId="4422" priority="4272">
      <formula>$AD220=3</formula>
    </cfRule>
    <cfRule type="expression" dxfId="4421" priority="4273">
      <formula>$AD220=2</formula>
    </cfRule>
    <cfRule type="expression" dxfId="4420" priority="4274">
      <formula>$AD220=1</formula>
    </cfRule>
  </conditionalFormatting>
  <conditionalFormatting sqref="Q220:R220">
    <cfRule type="expression" dxfId="4419" priority="4267">
      <formula>$AE220=4</formula>
    </cfRule>
    <cfRule type="expression" dxfId="4418" priority="4268">
      <formula>$AE220=3</formula>
    </cfRule>
    <cfRule type="expression" dxfId="4417" priority="4269">
      <formula>$AE220=2</formula>
    </cfRule>
    <cfRule type="expression" dxfId="4416" priority="4270">
      <formula>$AE220=1</formula>
    </cfRule>
  </conditionalFormatting>
  <conditionalFormatting sqref="X220:Y220">
    <cfRule type="expression" dxfId="4415" priority="4263">
      <formula>$AF220=4</formula>
    </cfRule>
    <cfRule type="expression" dxfId="4414" priority="4264">
      <formula>$AF220=3</formula>
    </cfRule>
    <cfRule type="expression" dxfId="4413" priority="4265">
      <formula>$AF220=2</formula>
    </cfRule>
    <cfRule type="expression" dxfId="4412" priority="4266">
      <formula>$AF220=1</formula>
    </cfRule>
  </conditionalFormatting>
  <conditionalFormatting sqref="G220:J220">
    <cfRule type="expression" dxfId="4411" priority="4262">
      <formula>$AC220=2</formula>
    </cfRule>
  </conditionalFormatting>
  <conditionalFormatting sqref="G220">
    <cfRule type="expression" dxfId="4410" priority="4261">
      <formula>G220&gt;F220</formula>
    </cfRule>
  </conditionalFormatting>
  <conditionalFormatting sqref="N220">
    <cfRule type="expression" dxfId="4409" priority="4260">
      <formula>N220&gt;F220</formula>
    </cfRule>
  </conditionalFormatting>
  <conditionalFormatting sqref="U220">
    <cfRule type="expression" dxfId="4408" priority="4259">
      <formula>U220&gt;F220</formula>
    </cfRule>
  </conditionalFormatting>
  <conditionalFormatting sqref="J221">
    <cfRule type="expression" dxfId="4407" priority="4251">
      <formula>$AD221=4</formula>
    </cfRule>
    <cfRule type="expression" dxfId="4406" priority="4252">
      <formula>$AD221=3</formula>
    </cfRule>
    <cfRule type="expression" dxfId="4405" priority="4253">
      <formula>$AD221=2</formula>
    </cfRule>
    <cfRule type="expression" dxfId="4404" priority="4254">
      <formula>$AD221=1</formula>
    </cfRule>
  </conditionalFormatting>
  <conditionalFormatting sqref="Q221:R221">
    <cfRule type="expression" dxfId="4403" priority="4247">
      <formula>$AE221=4</formula>
    </cfRule>
    <cfRule type="expression" dxfId="4402" priority="4248">
      <formula>$AE221=3</formula>
    </cfRule>
    <cfRule type="expression" dxfId="4401" priority="4249">
      <formula>$AE221=2</formula>
    </cfRule>
    <cfRule type="expression" dxfId="4400" priority="4250">
      <formula>$AE221=1</formula>
    </cfRule>
  </conditionalFormatting>
  <conditionalFormatting sqref="X221:Y221">
    <cfRule type="expression" dxfId="4399" priority="4243">
      <formula>$AF221=4</formula>
    </cfRule>
    <cfRule type="expression" dxfId="4398" priority="4244">
      <formula>$AF221=3</formula>
    </cfRule>
    <cfRule type="expression" dxfId="4397" priority="4245">
      <formula>$AF221=2</formula>
    </cfRule>
    <cfRule type="expression" dxfId="4396" priority="4246">
      <formula>$AF221=1</formula>
    </cfRule>
  </conditionalFormatting>
  <conditionalFormatting sqref="G221:J221">
    <cfRule type="expression" dxfId="4395" priority="4242">
      <formula>$AC221=2</formula>
    </cfRule>
  </conditionalFormatting>
  <conditionalFormatting sqref="G221">
    <cfRule type="expression" dxfId="4394" priority="4241">
      <formula>G221&gt;F221</formula>
    </cfRule>
  </conditionalFormatting>
  <conditionalFormatting sqref="N221">
    <cfRule type="expression" dxfId="4393" priority="4240">
      <formula>N221&gt;F221</formula>
    </cfRule>
  </conditionalFormatting>
  <conditionalFormatting sqref="U221">
    <cfRule type="expression" dxfId="4392" priority="4239">
      <formula>U221&gt;F221</formula>
    </cfRule>
  </conditionalFormatting>
  <conditionalFormatting sqref="J222">
    <cfRule type="expression" dxfId="4391" priority="4231">
      <formula>$AD222=4</formula>
    </cfRule>
    <cfRule type="expression" dxfId="4390" priority="4232">
      <formula>$AD222=3</formula>
    </cfRule>
    <cfRule type="expression" dxfId="4389" priority="4233">
      <formula>$AD222=2</formula>
    </cfRule>
    <cfRule type="expression" dxfId="4388" priority="4234">
      <formula>$AD222=1</formula>
    </cfRule>
  </conditionalFormatting>
  <conditionalFormatting sqref="Q222:R222">
    <cfRule type="expression" dxfId="4387" priority="4227">
      <formula>$AE222=4</formula>
    </cfRule>
    <cfRule type="expression" dxfId="4386" priority="4228">
      <formula>$AE222=3</formula>
    </cfRule>
    <cfRule type="expression" dxfId="4385" priority="4229">
      <formula>$AE222=2</formula>
    </cfRule>
    <cfRule type="expression" dxfId="4384" priority="4230">
      <formula>$AE222=1</formula>
    </cfRule>
  </conditionalFormatting>
  <conditionalFormatting sqref="X222:Y222">
    <cfRule type="expression" dxfId="4383" priority="4223">
      <formula>$AF222=4</formula>
    </cfRule>
    <cfRule type="expression" dxfId="4382" priority="4224">
      <formula>$AF222=3</formula>
    </cfRule>
    <cfRule type="expression" dxfId="4381" priority="4225">
      <formula>$AF222=2</formula>
    </cfRule>
    <cfRule type="expression" dxfId="4380" priority="4226">
      <formula>$AF222=1</formula>
    </cfRule>
  </conditionalFormatting>
  <conditionalFormatting sqref="G222:J222">
    <cfRule type="expression" dxfId="4379" priority="4222">
      <formula>$AC222=2</formula>
    </cfRule>
  </conditionalFormatting>
  <conditionalFormatting sqref="G222:G223">
    <cfRule type="expression" dxfId="4378" priority="4221">
      <formula>G222&gt;F222</formula>
    </cfRule>
  </conditionalFormatting>
  <conditionalFormatting sqref="N222">
    <cfRule type="expression" dxfId="4377" priority="4220">
      <formula>N222&gt;F222</formula>
    </cfRule>
  </conditionalFormatting>
  <conditionalFormatting sqref="U222">
    <cfRule type="expression" dxfId="4376" priority="4219">
      <formula>U222&gt;F222</formula>
    </cfRule>
  </conditionalFormatting>
  <conditionalFormatting sqref="G253">
    <cfRule type="expression" dxfId="4375" priority="4201">
      <formula>G253&gt;F253</formula>
    </cfRule>
  </conditionalFormatting>
  <conditionalFormatting sqref="N253:P253">
    <cfRule type="expression" dxfId="4374" priority="4200">
      <formula>N253&gt;F253</formula>
    </cfRule>
  </conditionalFormatting>
  <conditionalFormatting sqref="U253:W253">
    <cfRule type="expression" dxfId="4373" priority="4199">
      <formula>U253&gt;F253</formula>
    </cfRule>
  </conditionalFormatting>
  <conditionalFormatting sqref="G249">
    <cfRule type="expression" dxfId="4372" priority="4191">
      <formula>G249&gt;F249</formula>
    </cfRule>
  </conditionalFormatting>
  <conditionalFormatting sqref="X257:Y257">
    <cfRule type="expression" dxfId="4371" priority="4178">
      <formula>$AC147=2</formula>
    </cfRule>
  </conditionalFormatting>
  <conditionalFormatting sqref="G243">
    <cfRule type="expression" dxfId="4370" priority="4136">
      <formula>G243&gt;F243</formula>
    </cfRule>
  </conditionalFormatting>
  <conditionalFormatting sqref="N243:P243">
    <cfRule type="expression" dxfId="4369" priority="4119">
      <formula>N243&gt;F243</formula>
    </cfRule>
  </conditionalFormatting>
  <conditionalFormatting sqref="U243:W243">
    <cfRule type="expression" dxfId="4368" priority="4118">
      <formula>U243&gt;F243</formula>
    </cfRule>
  </conditionalFormatting>
  <conditionalFormatting sqref="N249:P249">
    <cfRule type="expression" dxfId="4367" priority="4108">
      <formula>N249&gt;F249</formula>
    </cfRule>
  </conditionalFormatting>
  <conditionalFormatting sqref="U249:W249">
    <cfRule type="expression" dxfId="4366" priority="4107">
      <formula>U249&gt;F249</formula>
    </cfRule>
  </conditionalFormatting>
  <conditionalFormatting sqref="AZ244 X244:Y244 L244 H244:J244">
    <cfRule type="expression" dxfId="4365" priority="4088">
      <formula>$AC20=2</formula>
    </cfRule>
  </conditionalFormatting>
  <conditionalFormatting sqref="G246">
    <cfRule type="expression" dxfId="4364" priority="4049">
      <formula>G246&gt;F246</formula>
    </cfRule>
  </conditionalFormatting>
  <conditionalFormatting sqref="N246:P246">
    <cfRule type="expression" dxfId="4363" priority="4043">
      <formula>N246&gt;F246</formula>
    </cfRule>
  </conditionalFormatting>
  <conditionalFormatting sqref="U246:W246">
    <cfRule type="expression" dxfId="4362" priority="4042">
      <formula>U246&gt;F246</formula>
    </cfRule>
  </conditionalFormatting>
  <conditionalFormatting sqref="G250">
    <cfRule type="expression" dxfId="4361" priority="4023">
      <formula>G250&gt;F250</formula>
    </cfRule>
  </conditionalFormatting>
  <conditionalFormatting sqref="N250:P250">
    <cfRule type="expression" dxfId="4360" priority="4017">
      <formula>N250&gt;F250</formula>
    </cfRule>
  </conditionalFormatting>
  <conditionalFormatting sqref="U250:W250">
    <cfRule type="expression" dxfId="4359" priority="4016">
      <formula>U250&gt;F250</formula>
    </cfRule>
  </conditionalFormatting>
  <conditionalFormatting sqref="H257:L257">
    <cfRule type="expression" dxfId="4358" priority="3997">
      <formula>$AC147=2</formula>
    </cfRule>
  </conditionalFormatting>
  <conditionalFormatting sqref="H252:L252 X252:Y252">
    <cfRule type="expression" dxfId="4357" priority="3962">
      <formula>$AC117=2</formula>
    </cfRule>
  </conditionalFormatting>
  <conditionalFormatting sqref="G255">
    <cfRule type="expression" dxfId="4356" priority="3932">
      <formula>G255&gt;F255</formula>
    </cfRule>
  </conditionalFormatting>
  <conditionalFormatting sqref="N255:P255">
    <cfRule type="expression" dxfId="4355" priority="3931">
      <formula>N255&gt;F255</formula>
    </cfRule>
  </conditionalFormatting>
  <conditionalFormatting sqref="U255:W255">
    <cfRule type="expression" dxfId="4354" priority="3930">
      <formula>U255&gt;F255</formula>
    </cfRule>
  </conditionalFormatting>
  <conditionalFormatting sqref="G256">
    <cfRule type="expression" dxfId="4353" priority="3910">
      <formula>G256&gt;F256</formula>
    </cfRule>
  </conditionalFormatting>
  <conditionalFormatting sqref="N256:P256">
    <cfRule type="expression" dxfId="4352" priority="3909">
      <formula>N256&gt;F256</formula>
    </cfRule>
  </conditionalFormatting>
  <conditionalFormatting sqref="U256:W256">
    <cfRule type="expression" dxfId="4351" priority="3908">
      <formula>U256&gt;F256</formula>
    </cfRule>
  </conditionalFormatting>
  <conditionalFormatting sqref="O58:O59">
    <cfRule type="expression" dxfId="4350" priority="2275">
      <formula>$AC58=2</formula>
    </cfRule>
  </conditionalFormatting>
  <conditionalFormatting sqref="U51:U53">
    <cfRule type="expression" dxfId="4349" priority="2331">
      <formula>$AC51=2</formula>
    </cfRule>
  </conditionalFormatting>
  <conditionalFormatting sqref="K219">
    <cfRule type="expression" dxfId="4348" priority="3845">
      <formula>$AD219=4</formula>
    </cfRule>
    <cfRule type="expression" dxfId="4347" priority="3846">
      <formula>$AD219=3</formula>
    </cfRule>
    <cfRule type="expression" dxfId="4346" priority="3847">
      <formula>$AD219=2</formula>
    </cfRule>
    <cfRule type="expression" dxfId="4345" priority="3848">
      <formula>$AD219=1</formula>
    </cfRule>
  </conditionalFormatting>
  <conditionalFormatting sqref="K219">
    <cfRule type="expression" dxfId="4344" priority="3844">
      <formula>$AC219=2</formula>
    </cfRule>
  </conditionalFormatting>
  <conditionalFormatting sqref="K220">
    <cfRule type="expression" dxfId="4343" priority="3840">
      <formula>$AD220=4</formula>
    </cfRule>
    <cfRule type="expression" dxfId="4342" priority="3841">
      <formula>$AD220=3</formula>
    </cfRule>
    <cfRule type="expression" dxfId="4341" priority="3842">
      <formula>$AD220=2</formula>
    </cfRule>
    <cfRule type="expression" dxfId="4340" priority="3843">
      <formula>$AD220=1</formula>
    </cfRule>
  </conditionalFormatting>
  <conditionalFormatting sqref="K220">
    <cfRule type="expression" dxfId="4339" priority="3839">
      <formula>$AC220=2</formula>
    </cfRule>
  </conditionalFormatting>
  <conditionalFormatting sqref="K221">
    <cfRule type="expression" dxfId="4338" priority="3835">
      <formula>$AD221=4</formula>
    </cfRule>
    <cfRule type="expression" dxfId="4337" priority="3836">
      <formula>$AD221=3</formula>
    </cfRule>
    <cfRule type="expression" dxfId="4336" priority="3837">
      <formula>$AD221=2</formula>
    </cfRule>
    <cfRule type="expression" dxfId="4335" priority="3838">
      <formula>$AD221=1</formula>
    </cfRule>
  </conditionalFormatting>
  <conditionalFormatting sqref="K221">
    <cfRule type="expression" dxfId="4334" priority="3834">
      <formula>$AC221=2</formula>
    </cfRule>
  </conditionalFormatting>
  <conditionalFormatting sqref="K222">
    <cfRule type="expression" dxfId="4333" priority="3830">
      <formula>$AD222=4</formula>
    </cfRule>
    <cfRule type="expression" dxfId="4332" priority="3831">
      <formula>$AD222=3</formula>
    </cfRule>
    <cfRule type="expression" dxfId="4331" priority="3832">
      <formula>$AD222=2</formula>
    </cfRule>
    <cfRule type="expression" dxfId="4330" priority="3833">
      <formula>$AD222=1</formula>
    </cfRule>
  </conditionalFormatting>
  <conditionalFormatting sqref="K222">
    <cfRule type="expression" dxfId="4329" priority="3829">
      <formula>$AC222=2</formula>
    </cfRule>
  </conditionalFormatting>
  <conditionalFormatting sqref="L58:L59">
    <cfRule type="expression" dxfId="4328" priority="2278">
      <formula>$AC58=2</formula>
    </cfRule>
  </conditionalFormatting>
  <conditionalFormatting sqref="L12:L13">
    <cfRule type="expression" dxfId="4327" priority="3649">
      <formula>$AC12=2</formula>
    </cfRule>
  </conditionalFormatting>
  <conditionalFormatting sqref="Z219">
    <cfRule type="expression" dxfId="4326" priority="3821">
      <formula>$AC219=2</formula>
    </cfRule>
  </conditionalFormatting>
  <conditionalFormatting sqref="Z220">
    <cfRule type="expression" dxfId="4325" priority="3820">
      <formula>$AC220=2</formula>
    </cfRule>
  </conditionalFormatting>
  <conditionalFormatting sqref="Z221">
    <cfRule type="expression" dxfId="4324" priority="3819">
      <formula>$AC221=2</formula>
    </cfRule>
  </conditionalFormatting>
  <conditionalFormatting sqref="Z222">
    <cfRule type="expression" dxfId="4323" priority="3818">
      <formula>$AC222=2</formula>
    </cfRule>
  </conditionalFormatting>
  <conditionalFormatting sqref="H234:L234 Q234:S234 X234:Z234 AZ234">
    <cfRule type="expression" dxfId="4322" priority="3816">
      <formula>$AC45=2</formula>
    </cfRule>
  </conditionalFormatting>
  <conditionalFormatting sqref="Z244">
    <cfRule type="expression" dxfId="4321" priority="3814">
      <formula>$AC20=2</formula>
    </cfRule>
  </conditionalFormatting>
  <conditionalFormatting sqref="Z257">
    <cfRule type="expression" dxfId="4320" priority="3811">
      <formula>$AC147=2</formula>
    </cfRule>
  </conditionalFormatting>
  <conditionalFormatting sqref="Z252">
    <cfRule type="expression" dxfId="4319" priority="3810">
      <formula>$AC117=2</formula>
    </cfRule>
  </conditionalFormatting>
  <conditionalFormatting sqref="L11">
    <cfRule type="expression" dxfId="4318" priority="3735">
      <formula>$AC11=2</formula>
    </cfRule>
  </conditionalFormatting>
  <conditionalFormatting sqref="S11">
    <cfRule type="expression" dxfId="4317" priority="3733">
      <formula>$AC11=2</formula>
    </cfRule>
  </conditionalFormatting>
  <conditionalFormatting sqref="X121:Y121">
    <cfRule type="expression" dxfId="4316" priority="2802">
      <formula>$AC121=2</formula>
    </cfRule>
  </conditionalFormatting>
  <conditionalFormatting sqref="H245:J245 L245">
    <cfRule type="expression" dxfId="4315" priority="3706">
      <formula>$AC27=2</formula>
    </cfRule>
  </conditionalFormatting>
  <conditionalFormatting sqref="X245:Y245">
    <cfRule type="expression" dxfId="4314" priority="3680">
      <formula>$AC27=2</formula>
    </cfRule>
  </conditionalFormatting>
  <conditionalFormatting sqref="S245">
    <cfRule type="expression" dxfId="4313" priority="3666">
      <formula>$AC27=2</formula>
    </cfRule>
  </conditionalFormatting>
  <conditionalFormatting sqref="Z245">
    <cfRule type="expression" dxfId="4312" priority="3665">
      <formula>$AC27=2</formula>
    </cfRule>
  </conditionalFormatting>
  <conditionalFormatting sqref="G12:G16">
    <cfRule type="expression" dxfId="4311" priority="3639">
      <formula>G12&gt;F12</formula>
    </cfRule>
  </conditionalFormatting>
  <conditionalFormatting sqref="G18:G19 G21:G24 G28:G30 G32:G34">
    <cfRule type="expression" dxfId="4310" priority="3637">
      <formula>G18&gt;F18</formula>
    </cfRule>
  </conditionalFormatting>
  <conditionalFormatting sqref="J12:K24">
    <cfRule type="expression" dxfId="4309" priority="3651">
      <formula>$AD12=4</formula>
    </cfRule>
    <cfRule type="expression" dxfId="4308" priority="3652">
      <formula>$AD12=3</formula>
    </cfRule>
    <cfRule type="expression" dxfId="4307" priority="3653">
      <formula>$AD12=2</formula>
    </cfRule>
    <cfRule type="expression" dxfId="4306" priority="3654">
      <formula>$AD12=1</formula>
    </cfRule>
  </conditionalFormatting>
  <conditionalFormatting sqref="J12:K24">
    <cfRule type="expression" dxfId="4305" priority="3650">
      <formula>$AC12=2</formula>
    </cfRule>
  </conditionalFormatting>
  <conditionalFormatting sqref="J34:K34">
    <cfRule type="expression" dxfId="4304" priority="3645">
      <formula>$AD34=4</formula>
    </cfRule>
    <cfRule type="expression" dxfId="4303" priority="3646">
      <formula>$AD34=3</formula>
    </cfRule>
    <cfRule type="expression" dxfId="4302" priority="3647">
      <formula>$AD34=2</formula>
    </cfRule>
    <cfRule type="expression" dxfId="4301" priority="3648">
      <formula>$AD34=1</formula>
    </cfRule>
  </conditionalFormatting>
  <conditionalFormatting sqref="J34:K34">
    <cfRule type="expression" dxfId="4300" priority="3644">
      <formula>$AC34=2</formula>
    </cfRule>
  </conditionalFormatting>
  <conditionalFormatting sqref="L34">
    <cfRule type="expression" dxfId="4299" priority="3643">
      <formula>$AC34=2</formula>
    </cfRule>
  </conditionalFormatting>
  <conditionalFormatting sqref="G12:G16">
    <cfRule type="expression" dxfId="4298" priority="3640">
      <formula>$AC12=2</formula>
    </cfRule>
  </conditionalFormatting>
  <conditionalFormatting sqref="G18:G19">
    <cfRule type="expression" dxfId="4297" priority="3638">
      <formula>$AC18=2</formula>
    </cfRule>
  </conditionalFormatting>
  <conditionalFormatting sqref="Q16:R16">
    <cfRule type="expression" dxfId="4296" priority="3633">
      <formula>$AE16=4</formula>
    </cfRule>
    <cfRule type="expression" dxfId="4295" priority="3634">
      <formula>$AE16=3</formula>
    </cfRule>
    <cfRule type="expression" dxfId="4294" priority="3635">
      <formula>$AE16=2</formula>
    </cfRule>
    <cfRule type="expression" dxfId="4293" priority="3636">
      <formula>$AE16=1</formula>
    </cfRule>
  </conditionalFormatting>
  <conditionalFormatting sqref="X16:Y16">
    <cfRule type="expression" dxfId="4292" priority="3629">
      <formula>$AF16=4</formula>
    </cfRule>
    <cfRule type="expression" dxfId="4291" priority="3630">
      <formula>$AF16=3</formula>
    </cfRule>
    <cfRule type="expression" dxfId="4290" priority="3631">
      <formula>$AF16=2</formula>
    </cfRule>
    <cfRule type="expression" dxfId="4289" priority="3632">
      <formula>$AF16=1</formula>
    </cfRule>
  </conditionalFormatting>
  <conditionalFormatting sqref="N16">
    <cfRule type="expression" dxfId="4288" priority="3628">
      <formula>$AC16=2</formula>
    </cfRule>
  </conditionalFormatting>
  <conditionalFormatting sqref="N16">
    <cfRule type="expression" dxfId="4287" priority="3627">
      <formula>N16&gt;F16</formula>
    </cfRule>
  </conditionalFormatting>
  <conditionalFormatting sqref="Q15:R15">
    <cfRule type="expression" dxfId="4286" priority="3617">
      <formula>$AE15=4</formula>
    </cfRule>
    <cfRule type="expression" dxfId="4285" priority="3618">
      <formula>$AE15=3</formula>
    </cfRule>
    <cfRule type="expression" dxfId="4284" priority="3619">
      <formula>$AE15=2</formula>
    </cfRule>
    <cfRule type="expression" dxfId="4283" priority="3620">
      <formula>$AE15=1</formula>
    </cfRule>
  </conditionalFormatting>
  <conditionalFormatting sqref="N15">
    <cfRule type="expression" dxfId="4282" priority="3612">
      <formula>$AC15=2</formula>
    </cfRule>
  </conditionalFormatting>
  <conditionalFormatting sqref="N15">
    <cfRule type="expression" dxfId="4281" priority="3611">
      <formula>N15&gt;F15</formula>
    </cfRule>
  </conditionalFormatting>
  <conditionalFormatting sqref="Q14:R14">
    <cfRule type="expression" dxfId="4280" priority="3601">
      <formula>$AE14=4</formula>
    </cfRule>
    <cfRule type="expression" dxfId="4279" priority="3602">
      <formula>$AE14=3</formula>
    </cfRule>
    <cfRule type="expression" dxfId="4278" priority="3603">
      <formula>$AE14=2</formula>
    </cfRule>
    <cfRule type="expression" dxfId="4277" priority="3604">
      <formula>$AE14=1</formula>
    </cfRule>
  </conditionalFormatting>
  <conditionalFormatting sqref="X14:Y14">
    <cfRule type="expression" dxfId="4276" priority="3597">
      <formula>$AF14=4</formula>
    </cfRule>
    <cfRule type="expression" dxfId="4275" priority="3598">
      <formula>$AF14=3</formula>
    </cfRule>
    <cfRule type="expression" dxfId="4274" priority="3599">
      <formula>$AF14=2</formula>
    </cfRule>
    <cfRule type="expression" dxfId="4273" priority="3600">
      <formula>$AF14=1</formula>
    </cfRule>
  </conditionalFormatting>
  <conditionalFormatting sqref="N14">
    <cfRule type="expression" dxfId="4272" priority="3596">
      <formula>$AC14=2</formula>
    </cfRule>
  </conditionalFormatting>
  <conditionalFormatting sqref="N14">
    <cfRule type="expression" dxfId="4271" priority="3595">
      <formula>N14&gt;F14</formula>
    </cfRule>
  </conditionalFormatting>
  <conditionalFormatting sqref="Q13:R13">
    <cfRule type="expression" dxfId="4270" priority="3585">
      <formula>$AE13=4</formula>
    </cfRule>
    <cfRule type="expression" dxfId="4269" priority="3586">
      <formula>$AE13=3</formula>
    </cfRule>
    <cfRule type="expression" dxfId="4268" priority="3587">
      <formula>$AE13=2</formula>
    </cfRule>
    <cfRule type="expression" dxfId="4267" priority="3588">
      <formula>$AE13=1</formula>
    </cfRule>
  </conditionalFormatting>
  <conditionalFormatting sqref="X13:Y13">
    <cfRule type="expression" dxfId="4266" priority="3581">
      <formula>$AF13=4</formula>
    </cfRule>
    <cfRule type="expression" dxfId="4265" priority="3582">
      <formula>$AF13=3</formula>
    </cfRule>
    <cfRule type="expression" dxfId="4264" priority="3583">
      <formula>$AF13=2</formula>
    </cfRule>
    <cfRule type="expression" dxfId="4263" priority="3584">
      <formula>$AF13=1</formula>
    </cfRule>
  </conditionalFormatting>
  <conditionalFormatting sqref="N13">
    <cfRule type="expression" dxfId="4262" priority="3580">
      <formula>$AC13=2</formula>
    </cfRule>
  </conditionalFormatting>
  <conditionalFormatting sqref="N13">
    <cfRule type="expression" dxfId="4261" priority="3579">
      <formula>N13&gt;F13</formula>
    </cfRule>
  </conditionalFormatting>
  <conditionalFormatting sqref="Q12:R12">
    <cfRule type="expression" dxfId="4260" priority="3569">
      <formula>$AE12=4</formula>
    </cfRule>
    <cfRule type="expression" dxfId="4259" priority="3570">
      <formula>$AE12=3</formula>
    </cfRule>
    <cfRule type="expression" dxfId="4258" priority="3571">
      <formula>$AE12=2</formula>
    </cfRule>
    <cfRule type="expression" dxfId="4257" priority="3572">
      <formula>$AE12=1</formula>
    </cfRule>
  </conditionalFormatting>
  <conditionalFormatting sqref="X12:Y12">
    <cfRule type="expression" dxfId="4256" priority="3565">
      <formula>$AF12=4</formula>
    </cfRule>
    <cfRule type="expression" dxfId="4255" priority="3566">
      <formula>$AF12=3</formula>
    </cfRule>
    <cfRule type="expression" dxfId="4254" priority="3567">
      <formula>$AF12=2</formula>
    </cfRule>
    <cfRule type="expression" dxfId="4253" priority="3568">
      <formula>$AF12=1</formula>
    </cfRule>
  </conditionalFormatting>
  <conditionalFormatting sqref="N12">
    <cfRule type="expression" dxfId="4252" priority="3564">
      <formula>$AC12=2</formula>
    </cfRule>
  </conditionalFormatting>
  <conditionalFormatting sqref="N12">
    <cfRule type="expression" dxfId="4251" priority="3563">
      <formula>N12&gt;F12</formula>
    </cfRule>
  </conditionalFormatting>
  <conditionalFormatting sqref="Q21:R21">
    <cfRule type="expression" dxfId="4250" priority="3553">
      <formula>$AE21=4</formula>
    </cfRule>
    <cfRule type="expression" dxfId="4249" priority="3554">
      <formula>$AE21=3</formula>
    </cfRule>
    <cfRule type="expression" dxfId="4248" priority="3555">
      <formula>$AE21=2</formula>
    </cfRule>
    <cfRule type="expression" dxfId="4247" priority="3556">
      <formula>$AE21=1</formula>
    </cfRule>
  </conditionalFormatting>
  <conditionalFormatting sqref="X21:Y21">
    <cfRule type="expression" dxfId="4246" priority="3549">
      <formula>$AF21=4</formula>
    </cfRule>
    <cfRule type="expression" dxfId="4245" priority="3550">
      <formula>$AF21=3</formula>
    </cfRule>
    <cfRule type="expression" dxfId="4244" priority="3551">
      <formula>$AF21=2</formula>
    </cfRule>
    <cfRule type="expression" dxfId="4243" priority="3552">
      <formula>$AF21=1</formula>
    </cfRule>
  </conditionalFormatting>
  <conditionalFormatting sqref="N21">
    <cfRule type="expression" dxfId="4242" priority="3548">
      <formula>$AC21=2</formula>
    </cfRule>
  </conditionalFormatting>
  <conditionalFormatting sqref="N21">
    <cfRule type="expression" dxfId="4241" priority="3547">
      <formula>N21&gt;F21</formula>
    </cfRule>
  </conditionalFormatting>
  <conditionalFormatting sqref="Q22:R22">
    <cfRule type="expression" dxfId="4240" priority="3537">
      <formula>$AE22=4</formula>
    </cfRule>
    <cfRule type="expression" dxfId="4239" priority="3538">
      <formula>$AE22=3</formula>
    </cfRule>
    <cfRule type="expression" dxfId="4238" priority="3539">
      <formula>$AE22=2</formula>
    </cfRule>
    <cfRule type="expression" dxfId="4237" priority="3540">
      <formula>$AE22=1</formula>
    </cfRule>
  </conditionalFormatting>
  <conditionalFormatting sqref="X22:Y22">
    <cfRule type="expression" dxfId="4236" priority="3533">
      <formula>$AF22=4</formula>
    </cfRule>
    <cfRule type="expression" dxfId="4235" priority="3534">
      <formula>$AF22=3</formula>
    </cfRule>
    <cfRule type="expression" dxfId="4234" priority="3535">
      <formula>$AF22=2</formula>
    </cfRule>
    <cfRule type="expression" dxfId="4233" priority="3536">
      <formula>$AF22=1</formula>
    </cfRule>
  </conditionalFormatting>
  <conditionalFormatting sqref="N22">
    <cfRule type="expression" dxfId="4232" priority="3532">
      <formula>$AC22=2</formula>
    </cfRule>
  </conditionalFormatting>
  <conditionalFormatting sqref="N22">
    <cfRule type="expression" dxfId="4231" priority="3531">
      <formula>N22&gt;F22</formula>
    </cfRule>
  </conditionalFormatting>
  <conditionalFormatting sqref="Q23:R23">
    <cfRule type="expression" dxfId="4230" priority="3521">
      <formula>$AE23=4</formula>
    </cfRule>
    <cfRule type="expression" dxfId="4229" priority="3522">
      <formula>$AE23=3</formula>
    </cfRule>
    <cfRule type="expression" dxfId="4228" priority="3523">
      <formula>$AE23=2</formula>
    </cfRule>
    <cfRule type="expression" dxfId="4227" priority="3524">
      <formula>$AE23=1</formula>
    </cfRule>
  </conditionalFormatting>
  <conditionalFormatting sqref="X23:Y23">
    <cfRule type="expression" dxfId="4226" priority="3517">
      <formula>$AF23=4</formula>
    </cfRule>
    <cfRule type="expression" dxfId="4225" priority="3518">
      <formula>$AF23=3</formula>
    </cfRule>
    <cfRule type="expression" dxfId="4224" priority="3519">
      <formula>$AF23=2</formula>
    </cfRule>
    <cfRule type="expression" dxfId="4223" priority="3520">
      <formula>$AF23=1</formula>
    </cfRule>
  </conditionalFormatting>
  <conditionalFormatting sqref="N23">
    <cfRule type="expression" dxfId="4222" priority="3516">
      <formula>$AC23=2</formula>
    </cfRule>
  </conditionalFormatting>
  <conditionalFormatting sqref="N23">
    <cfRule type="expression" dxfId="4221" priority="3515">
      <formula>N23&gt;F23</formula>
    </cfRule>
  </conditionalFormatting>
  <conditionalFormatting sqref="Q24:R24">
    <cfRule type="expression" dxfId="4220" priority="3505">
      <formula>$AE24=4</formula>
    </cfRule>
    <cfRule type="expression" dxfId="4219" priority="3506">
      <formula>$AE24=3</formula>
    </cfRule>
    <cfRule type="expression" dxfId="4218" priority="3507">
      <formula>$AE24=2</formula>
    </cfRule>
    <cfRule type="expression" dxfId="4217" priority="3508">
      <formula>$AE24=1</formula>
    </cfRule>
  </conditionalFormatting>
  <conditionalFormatting sqref="X24:Y24">
    <cfRule type="expression" dxfId="4216" priority="3501">
      <formula>$AF24=4</formula>
    </cfRule>
    <cfRule type="expression" dxfId="4215" priority="3502">
      <formula>$AF24=3</formula>
    </cfRule>
    <cfRule type="expression" dxfId="4214" priority="3503">
      <formula>$AF24=2</formula>
    </cfRule>
    <cfRule type="expression" dxfId="4213" priority="3504">
      <formula>$AF24=1</formula>
    </cfRule>
  </conditionalFormatting>
  <conditionalFormatting sqref="N24">
    <cfRule type="expression" dxfId="4212" priority="3500">
      <formula>$AC24=2</formula>
    </cfRule>
  </conditionalFormatting>
  <conditionalFormatting sqref="N24">
    <cfRule type="expression" dxfId="4211" priority="3499">
      <formula>N24&gt;F24</formula>
    </cfRule>
  </conditionalFormatting>
  <conditionalFormatting sqref="Q28:R28">
    <cfRule type="expression" dxfId="4210" priority="3489">
      <formula>$AE28=4</formula>
    </cfRule>
    <cfRule type="expression" dxfId="4209" priority="3490">
      <formula>$AE28=3</formula>
    </cfRule>
    <cfRule type="expression" dxfId="4208" priority="3491">
      <formula>$AE28=2</formula>
    </cfRule>
    <cfRule type="expression" dxfId="4207" priority="3492">
      <formula>$AE28=1</formula>
    </cfRule>
  </conditionalFormatting>
  <conditionalFormatting sqref="X28:Y28">
    <cfRule type="expression" dxfId="4206" priority="3485">
      <formula>$AF28=4</formula>
    </cfRule>
    <cfRule type="expression" dxfId="4205" priority="3486">
      <formula>$AF28=3</formula>
    </cfRule>
    <cfRule type="expression" dxfId="4204" priority="3487">
      <formula>$AF28=2</formula>
    </cfRule>
    <cfRule type="expression" dxfId="4203" priority="3488">
      <formula>$AF28=1</formula>
    </cfRule>
  </conditionalFormatting>
  <conditionalFormatting sqref="N28">
    <cfRule type="expression" dxfId="4202" priority="3484">
      <formula>$AC28=2</formula>
    </cfRule>
  </conditionalFormatting>
  <conditionalFormatting sqref="N28">
    <cfRule type="expression" dxfId="4201" priority="3483">
      <formula>N28&gt;F28</formula>
    </cfRule>
  </conditionalFormatting>
  <conditionalFormatting sqref="Q29:R29">
    <cfRule type="expression" dxfId="4200" priority="3473">
      <formula>$AE29=4</formula>
    </cfRule>
    <cfRule type="expression" dxfId="4199" priority="3474">
      <formula>$AE29=3</formula>
    </cfRule>
    <cfRule type="expression" dxfId="4198" priority="3475">
      <formula>$AE29=2</formula>
    </cfRule>
    <cfRule type="expression" dxfId="4197" priority="3476">
      <formula>$AE29=1</formula>
    </cfRule>
  </conditionalFormatting>
  <conditionalFormatting sqref="X29:Y29">
    <cfRule type="expression" dxfId="4196" priority="3469">
      <formula>$AF29=4</formula>
    </cfRule>
    <cfRule type="expression" dxfId="4195" priority="3470">
      <formula>$AF29=3</formula>
    </cfRule>
    <cfRule type="expression" dxfId="4194" priority="3471">
      <formula>$AF29=2</formula>
    </cfRule>
    <cfRule type="expression" dxfId="4193" priority="3472">
      <formula>$AF29=1</formula>
    </cfRule>
  </conditionalFormatting>
  <conditionalFormatting sqref="N29">
    <cfRule type="expression" dxfId="4192" priority="3468">
      <formula>$AC29=2</formula>
    </cfRule>
  </conditionalFormatting>
  <conditionalFormatting sqref="N29">
    <cfRule type="expression" dxfId="4191" priority="3467">
      <formula>N29&gt;F29</formula>
    </cfRule>
  </conditionalFormatting>
  <conditionalFormatting sqref="Q30:R30">
    <cfRule type="expression" dxfId="4190" priority="3457">
      <formula>$AE30=4</formula>
    </cfRule>
    <cfRule type="expression" dxfId="4189" priority="3458">
      <formula>$AE30=3</formula>
    </cfRule>
    <cfRule type="expression" dxfId="4188" priority="3459">
      <formula>$AE30=2</formula>
    </cfRule>
    <cfRule type="expression" dxfId="4187" priority="3460">
      <formula>$AE30=1</formula>
    </cfRule>
  </conditionalFormatting>
  <conditionalFormatting sqref="X30:Y30">
    <cfRule type="expression" dxfId="4186" priority="3453">
      <formula>$AF30=4</formula>
    </cfRule>
    <cfRule type="expression" dxfId="4185" priority="3454">
      <formula>$AF30=3</formula>
    </cfRule>
    <cfRule type="expression" dxfId="4184" priority="3455">
      <formula>$AF30=2</formula>
    </cfRule>
    <cfRule type="expression" dxfId="4183" priority="3456">
      <formula>$AF30=1</formula>
    </cfRule>
  </conditionalFormatting>
  <conditionalFormatting sqref="N30">
    <cfRule type="expression" dxfId="4182" priority="3452">
      <formula>$AC30=2</formula>
    </cfRule>
  </conditionalFormatting>
  <conditionalFormatting sqref="N30">
    <cfRule type="expression" dxfId="4181" priority="3451">
      <formula>N30&gt;F30</formula>
    </cfRule>
  </conditionalFormatting>
  <conditionalFormatting sqref="Q32:R32">
    <cfRule type="expression" dxfId="4180" priority="3441">
      <formula>$AE32=4</formula>
    </cfRule>
    <cfRule type="expression" dxfId="4179" priority="3442">
      <formula>$AE32=3</formula>
    </cfRule>
    <cfRule type="expression" dxfId="4178" priority="3443">
      <formula>$AE32=2</formula>
    </cfRule>
    <cfRule type="expression" dxfId="4177" priority="3444">
      <formula>$AE32=1</formula>
    </cfRule>
  </conditionalFormatting>
  <conditionalFormatting sqref="X32:Y32">
    <cfRule type="expression" dxfId="4176" priority="3437">
      <formula>$AF32=4</formula>
    </cfRule>
    <cfRule type="expression" dxfId="4175" priority="3438">
      <formula>$AF32=3</formula>
    </cfRule>
    <cfRule type="expression" dxfId="4174" priority="3439">
      <formula>$AF32=2</formula>
    </cfRule>
    <cfRule type="expression" dxfId="4173" priority="3440">
      <formula>$AF32=1</formula>
    </cfRule>
  </conditionalFormatting>
  <conditionalFormatting sqref="N32">
    <cfRule type="expression" dxfId="4172" priority="3436">
      <formula>$AC32=2</formula>
    </cfRule>
  </conditionalFormatting>
  <conditionalFormatting sqref="N32">
    <cfRule type="expression" dxfId="4171" priority="3435">
      <formula>N32&gt;F32</formula>
    </cfRule>
  </conditionalFormatting>
  <conditionalFormatting sqref="Q33:R33">
    <cfRule type="expression" dxfId="4170" priority="3425">
      <formula>$AE33=4</formula>
    </cfRule>
    <cfRule type="expression" dxfId="4169" priority="3426">
      <formula>$AE33=3</formula>
    </cfRule>
    <cfRule type="expression" dxfId="4168" priority="3427">
      <formula>$AE33=2</formula>
    </cfRule>
    <cfRule type="expression" dxfId="4167" priority="3428">
      <formula>$AE33=1</formula>
    </cfRule>
  </conditionalFormatting>
  <conditionalFormatting sqref="X33:Y33">
    <cfRule type="expression" dxfId="4166" priority="3421">
      <formula>$AF33=4</formula>
    </cfRule>
    <cfRule type="expression" dxfId="4165" priority="3422">
      <formula>$AF33=3</formula>
    </cfRule>
    <cfRule type="expression" dxfId="4164" priority="3423">
      <formula>$AF33=2</formula>
    </cfRule>
    <cfRule type="expression" dxfId="4163" priority="3424">
      <formula>$AF33=1</formula>
    </cfRule>
  </conditionalFormatting>
  <conditionalFormatting sqref="N33">
    <cfRule type="expression" dxfId="4162" priority="3420">
      <formula>$AC33=2</formula>
    </cfRule>
  </conditionalFormatting>
  <conditionalFormatting sqref="N33">
    <cfRule type="expression" dxfId="4161" priority="3419">
      <formula>N33&gt;F33</formula>
    </cfRule>
  </conditionalFormatting>
  <conditionalFormatting sqref="Q34:R34">
    <cfRule type="expression" dxfId="4160" priority="3409">
      <formula>$AE34=4</formula>
    </cfRule>
    <cfRule type="expression" dxfId="4159" priority="3410">
      <formula>$AE34=3</formula>
    </cfRule>
    <cfRule type="expression" dxfId="4158" priority="3411">
      <formula>$AE34=2</formula>
    </cfRule>
    <cfRule type="expression" dxfId="4157" priority="3412">
      <formula>$AE34=1</formula>
    </cfRule>
  </conditionalFormatting>
  <conditionalFormatting sqref="X34:Y34">
    <cfRule type="expression" dxfId="4156" priority="3405">
      <formula>$AF34=4</formula>
    </cfRule>
    <cfRule type="expression" dxfId="4155" priority="3406">
      <formula>$AF34=3</formula>
    </cfRule>
    <cfRule type="expression" dxfId="4154" priority="3407">
      <formula>$AF34=2</formula>
    </cfRule>
    <cfRule type="expression" dxfId="4153" priority="3408">
      <formula>$AF34=1</formula>
    </cfRule>
  </conditionalFormatting>
  <conditionalFormatting sqref="N34">
    <cfRule type="expression" dxfId="4152" priority="3404">
      <formula>$AC34=2</formula>
    </cfRule>
  </conditionalFormatting>
  <conditionalFormatting sqref="N34">
    <cfRule type="expression" dxfId="4151" priority="3403">
      <formula>N34&gt;F34</formula>
    </cfRule>
  </conditionalFormatting>
  <conditionalFormatting sqref="O11:O24">
    <cfRule type="expression" dxfId="4150" priority="3344">
      <formula>$AC11=2</formula>
    </cfRule>
  </conditionalFormatting>
  <conditionalFormatting sqref="V11">
    <cfRule type="expression" dxfId="4149" priority="3343">
      <formula>$AC11=2</formula>
    </cfRule>
  </conditionalFormatting>
  <conditionalFormatting sqref="V12:V14">
    <cfRule type="expression" dxfId="4148" priority="3342">
      <formula>$AC12=2</formula>
    </cfRule>
  </conditionalFormatting>
  <conditionalFormatting sqref="V16">
    <cfRule type="expression" dxfId="4147" priority="3341">
      <formula>$AC16=2</formula>
    </cfRule>
  </conditionalFormatting>
  <conditionalFormatting sqref="V18:V19">
    <cfRule type="expression" dxfId="4146" priority="3340">
      <formula>$AC18=2</formula>
    </cfRule>
  </conditionalFormatting>
  <conditionalFormatting sqref="V21:V24">
    <cfRule type="expression" dxfId="4145" priority="3339">
      <formula>$AC21=2</formula>
    </cfRule>
  </conditionalFormatting>
  <conditionalFormatting sqref="V28:V30">
    <cfRule type="expression" dxfId="4144" priority="3338">
      <formula>$AC28=2</formula>
    </cfRule>
  </conditionalFormatting>
  <conditionalFormatting sqref="V32:V34">
    <cfRule type="expression" dxfId="4143" priority="3337">
      <formula>$AC32=2</formula>
    </cfRule>
  </conditionalFormatting>
  <conditionalFormatting sqref="U12:U14">
    <cfRule type="expression" dxfId="4142" priority="3332">
      <formula>$AC12=2</formula>
    </cfRule>
  </conditionalFormatting>
  <conditionalFormatting sqref="U12:U14">
    <cfRule type="expression" dxfId="4141" priority="3331">
      <formula>U12&gt;F12</formula>
    </cfRule>
  </conditionalFormatting>
  <conditionalFormatting sqref="U16">
    <cfRule type="expression" dxfId="4140" priority="3328">
      <formula>$AC16=2</formula>
    </cfRule>
  </conditionalFormatting>
  <conditionalFormatting sqref="U16">
    <cfRule type="expression" dxfId="4139" priority="3327">
      <formula>U16&gt;F16</formula>
    </cfRule>
  </conditionalFormatting>
  <conditionalFormatting sqref="U18:U19">
    <cfRule type="expression" dxfId="4138" priority="3324">
      <formula>$AC18=2</formula>
    </cfRule>
  </conditionalFormatting>
  <conditionalFormatting sqref="U18:U19">
    <cfRule type="expression" dxfId="4137" priority="3323">
      <formula>U18&gt;F18</formula>
    </cfRule>
  </conditionalFormatting>
  <conditionalFormatting sqref="U21:U24">
    <cfRule type="expression" dxfId="4136" priority="3320">
      <formula>$AC21=2</formula>
    </cfRule>
  </conditionalFormatting>
  <conditionalFormatting sqref="U21:U24">
    <cfRule type="expression" dxfId="4135" priority="3319">
      <formula>U21&gt;F21</formula>
    </cfRule>
  </conditionalFormatting>
  <conditionalFormatting sqref="U28:U30">
    <cfRule type="expression" dxfId="4134" priority="3316">
      <formula>$AC28=2</formula>
    </cfRule>
  </conditionalFormatting>
  <conditionalFormatting sqref="U28:U30">
    <cfRule type="expression" dxfId="4133" priority="3315">
      <formula>U28&gt;F28</formula>
    </cfRule>
  </conditionalFormatting>
  <conditionalFormatting sqref="U32:U34">
    <cfRule type="expression" dxfId="4132" priority="3312">
      <formula>$AC32=2</formula>
    </cfRule>
  </conditionalFormatting>
  <conditionalFormatting sqref="U32:U34">
    <cfRule type="expression" dxfId="4131" priority="3311">
      <formula>U32&gt;F32</formula>
    </cfRule>
  </conditionalFormatting>
  <conditionalFormatting sqref="J38:K39">
    <cfRule type="expression" dxfId="4130" priority="3305">
      <formula>$AD38=4</formula>
    </cfRule>
    <cfRule type="expression" dxfId="4129" priority="3306">
      <formula>$AD38=3</formula>
    </cfRule>
    <cfRule type="expression" dxfId="4128" priority="3307">
      <formula>$AD38=2</formula>
    </cfRule>
    <cfRule type="expression" dxfId="4127" priority="3308">
      <formula>$AD38=1</formula>
    </cfRule>
  </conditionalFormatting>
  <conditionalFormatting sqref="Q38:R39">
    <cfRule type="expression" dxfId="4126" priority="3301">
      <formula>$AE38=4</formula>
    </cfRule>
    <cfRule type="expression" dxfId="4125" priority="3302">
      <formula>$AE38=3</formula>
    </cfRule>
    <cfRule type="expression" dxfId="4124" priority="3303">
      <formula>$AE38=2</formula>
    </cfRule>
    <cfRule type="expression" dxfId="4123" priority="3304">
      <formula>$AE38=1</formula>
    </cfRule>
  </conditionalFormatting>
  <conditionalFormatting sqref="X38:Y39">
    <cfRule type="expression" dxfId="4122" priority="3297">
      <formula>$AF38=4</formula>
    </cfRule>
    <cfRule type="expression" dxfId="4121" priority="3298">
      <formula>$AF38=3</formula>
    </cfRule>
    <cfRule type="expression" dxfId="4120" priority="3299">
      <formula>$AF38=2</formula>
    </cfRule>
    <cfRule type="expression" dxfId="4119" priority="3300">
      <formula>$AF38=1</formula>
    </cfRule>
  </conditionalFormatting>
  <conditionalFormatting sqref="H38:K38 J39:K39">
    <cfRule type="expression" dxfId="4118" priority="3296">
      <formula>$AC38=2</formula>
    </cfRule>
  </conditionalFormatting>
  <conditionalFormatting sqref="L38:L39">
    <cfRule type="expression" dxfId="4117" priority="3291">
      <formula>$AC38=2</formula>
    </cfRule>
  </conditionalFormatting>
  <conditionalFormatting sqref="O38">
    <cfRule type="expression" dxfId="4116" priority="3289">
      <formula>$AC38=2</formula>
    </cfRule>
  </conditionalFormatting>
  <conditionalFormatting sqref="V38">
    <cfRule type="expression" dxfId="4115" priority="3288">
      <formula>$AC38=2</formula>
    </cfRule>
  </conditionalFormatting>
  <conditionalFormatting sqref="J65:K65">
    <cfRule type="expression" dxfId="4114" priority="3284">
      <formula>$AD65=4</formula>
    </cfRule>
    <cfRule type="expression" dxfId="4113" priority="3285">
      <formula>$AD65=3</formula>
    </cfRule>
    <cfRule type="expression" dxfId="4112" priority="3286">
      <formula>$AD65=2</formula>
    </cfRule>
    <cfRule type="expression" dxfId="4111" priority="3287">
      <formula>$AD65=1</formula>
    </cfRule>
  </conditionalFormatting>
  <conditionalFormatting sqref="Q65:R65">
    <cfRule type="expression" dxfId="4110" priority="3280">
      <formula>$AE65=4</formula>
    </cfRule>
    <cfRule type="expression" dxfId="4109" priority="3281">
      <formula>$AE65=3</formula>
    </cfRule>
    <cfRule type="expression" dxfId="4108" priority="3282">
      <formula>$AE65=2</formula>
    </cfRule>
    <cfRule type="expression" dxfId="4107" priority="3283">
      <formula>$AE65=1</formula>
    </cfRule>
  </conditionalFormatting>
  <conditionalFormatting sqref="X65:Y65">
    <cfRule type="expression" dxfId="4106" priority="3276">
      <formula>$AF65=4</formula>
    </cfRule>
    <cfRule type="expression" dxfId="4105" priority="3277">
      <formula>$AF65=3</formula>
    </cfRule>
    <cfRule type="expression" dxfId="4104" priority="3278">
      <formula>$AF65=2</formula>
    </cfRule>
    <cfRule type="expression" dxfId="4103" priority="3279">
      <formula>$AF65=1</formula>
    </cfRule>
  </conditionalFormatting>
  <conditionalFormatting sqref="H65:K65">
    <cfRule type="expression" dxfId="4102" priority="3275">
      <formula>$AC65=2</formula>
    </cfRule>
  </conditionalFormatting>
  <conditionalFormatting sqref="L65">
    <cfRule type="expression" dxfId="4101" priority="3270">
      <formula>$AC65=2</formula>
    </cfRule>
  </conditionalFormatting>
  <conditionalFormatting sqref="O65">
    <cfRule type="expression" dxfId="4100" priority="3268">
      <formula>$AC65=2</formula>
    </cfRule>
  </conditionalFormatting>
  <conditionalFormatting sqref="V65">
    <cfRule type="expression" dxfId="4099" priority="3267">
      <formula>$AC65=2</formula>
    </cfRule>
  </conditionalFormatting>
  <conditionalFormatting sqref="J94:K94">
    <cfRule type="expression" dxfId="4098" priority="3263">
      <formula>$AD94=4</formula>
    </cfRule>
    <cfRule type="expression" dxfId="4097" priority="3264">
      <formula>$AD94=3</formula>
    </cfRule>
    <cfRule type="expression" dxfId="4096" priority="3265">
      <formula>$AD94=2</formula>
    </cfRule>
    <cfRule type="expression" dxfId="4095" priority="3266">
      <formula>$AD94=1</formula>
    </cfRule>
  </conditionalFormatting>
  <conditionalFormatting sqref="Q94:R94">
    <cfRule type="expression" dxfId="4094" priority="3259">
      <formula>$AE94=4</formula>
    </cfRule>
    <cfRule type="expression" dxfId="4093" priority="3260">
      <formula>$AE94=3</formula>
    </cfRule>
    <cfRule type="expression" dxfId="4092" priority="3261">
      <formula>$AE94=2</formula>
    </cfRule>
    <cfRule type="expression" dxfId="4091" priority="3262">
      <formula>$AE94=1</formula>
    </cfRule>
  </conditionalFormatting>
  <conditionalFormatting sqref="X94:Y94">
    <cfRule type="expression" dxfId="4090" priority="3255">
      <formula>$AF94=4</formula>
    </cfRule>
    <cfRule type="expression" dxfId="4089" priority="3256">
      <formula>$AF94=3</formula>
    </cfRule>
    <cfRule type="expression" dxfId="4088" priority="3257">
      <formula>$AF94=2</formula>
    </cfRule>
    <cfRule type="expression" dxfId="4087" priority="3258">
      <formula>$AF94=1</formula>
    </cfRule>
  </conditionalFormatting>
  <conditionalFormatting sqref="H94:K94">
    <cfRule type="expression" dxfId="4086" priority="3254">
      <formula>$AC94=2</formula>
    </cfRule>
  </conditionalFormatting>
  <conditionalFormatting sqref="L94">
    <cfRule type="expression" dxfId="4085" priority="3249">
      <formula>$AC94=2</formula>
    </cfRule>
  </conditionalFormatting>
  <conditionalFormatting sqref="O94">
    <cfRule type="expression" dxfId="4084" priority="3247">
      <formula>$AC94=2</formula>
    </cfRule>
  </conditionalFormatting>
  <conditionalFormatting sqref="V94">
    <cfRule type="expression" dxfId="4083" priority="3246">
      <formula>$AC94=2</formula>
    </cfRule>
  </conditionalFormatting>
  <conditionalFormatting sqref="J103:K104">
    <cfRule type="expression" dxfId="4082" priority="3242">
      <formula>$AD103=4</formula>
    </cfRule>
    <cfRule type="expression" dxfId="4081" priority="3243">
      <formula>$AD103=3</formula>
    </cfRule>
    <cfRule type="expression" dxfId="4080" priority="3244">
      <formula>$AD103=2</formula>
    </cfRule>
    <cfRule type="expression" dxfId="4079" priority="3245">
      <formula>$AD103=1</formula>
    </cfRule>
  </conditionalFormatting>
  <conditionalFormatting sqref="Q103:R103">
    <cfRule type="expression" dxfId="4078" priority="3238">
      <formula>$AE103=4</formula>
    </cfRule>
    <cfRule type="expression" dxfId="4077" priority="3239">
      <formula>$AE103=3</formula>
    </cfRule>
    <cfRule type="expression" dxfId="4076" priority="3240">
      <formula>$AE103=2</formula>
    </cfRule>
    <cfRule type="expression" dxfId="4075" priority="3241">
      <formula>$AE103=1</formula>
    </cfRule>
  </conditionalFormatting>
  <conditionalFormatting sqref="X103:Y103">
    <cfRule type="expression" dxfId="4074" priority="3234">
      <formula>$AF103=4</formula>
    </cfRule>
    <cfRule type="expression" dxfId="4073" priority="3235">
      <formula>$AF103=3</formula>
    </cfRule>
    <cfRule type="expression" dxfId="4072" priority="3236">
      <formula>$AF103=2</formula>
    </cfRule>
    <cfRule type="expression" dxfId="4071" priority="3237">
      <formula>$AF103=1</formula>
    </cfRule>
  </conditionalFormatting>
  <conditionalFormatting sqref="H103:K103 J104:K104">
    <cfRule type="expression" dxfId="4070" priority="3233">
      <formula>$AC103=2</formula>
    </cfRule>
  </conditionalFormatting>
  <conditionalFormatting sqref="L103:L104">
    <cfRule type="expression" dxfId="4069" priority="3228">
      <formula>$AC103=2</formula>
    </cfRule>
  </conditionalFormatting>
  <conditionalFormatting sqref="O103">
    <cfRule type="expression" dxfId="4068" priority="3226">
      <formula>$AC103=2</formula>
    </cfRule>
  </conditionalFormatting>
  <conditionalFormatting sqref="V103">
    <cfRule type="expression" dxfId="4067" priority="3225">
      <formula>$AC103=2</formula>
    </cfRule>
  </conditionalFormatting>
  <conditionalFormatting sqref="J117:K117">
    <cfRule type="expression" dxfId="4066" priority="3221">
      <formula>$AD117=4</formula>
    </cfRule>
    <cfRule type="expression" dxfId="4065" priority="3222">
      <formula>$AD117=3</formula>
    </cfRule>
    <cfRule type="expression" dxfId="4064" priority="3223">
      <formula>$AD117=2</formula>
    </cfRule>
    <cfRule type="expression" dxfId="4063" priority="3224">
      <formula>$AD117=1</formula>
    </cfRule>
  </conditionalFormatting>
  <conditionalFormatting sqref="Q117:R117">
    <cfRule type="expression" dxfId="4062" priority="3217">
      <formula>$AE117=4</formula>
    </cfRule>
    <cfRule type="expression" dxfId="4061" priority="3218">
      <formula>$AE117=3</formula>
    </cfRule>
    <cfRule type="expression" dxfId="4060" priority="3219">
      <formula>$AE117=2</formula>
    </cfRule>
    <cfRule type="expression" dxfId="4059" priority="3220">
      <formula>$AE117=1</formula>
    </cfRule>
  </conditionalFormatting>
  <conditionalFormatting sqref="X117:Y117">
    <cfRule type="expression" dxfId="4058" priority="3213">
      <formula>$AF117=4</formula>
    </cfRule>
    <cfRule type="expression" dxfId="4057" priority="3214">
      <formula>$AF117=3</formula>
    </cfRule>
    <cfRule type="expression" dxfId="4056" priority="3215">
      <formula>$AF117=2</formula>
    </cfRule>
    <cfRule type="expression" dxfId="4055" priority="3216">
      <formula>$AF117=1</formula>
    </cfRule>
  </conditionalFormatting>
  <conditionalFormatting sqref="H117:K117">
    <cfRule type="expression" dxfId="4054" priority="3212">
      <formula>$AC117=2</formula>
    </cfRule>
  </conditionalFormatting>
  <conditionalFormatting sqref="L117">
    <cfRule type="expression" dxfId="4053" priority="3207">
      <formula>$AC117=2</formula>
    </cfRule>
  </conditionalFormatting>
  <conditionalFormatting sqref="O117">
    <cfRule type="expression" dxfId="4052" priority="3205">
      <formula>$AC117=2</formula>
    </cfRule>
  </conditionalFormatting>
  <conditionalFormatting sqref="V117">
    <cfRule type="expression" dxfId="4051" priority="3204">
      <formula>$AC117=2</formula>
    </cfRule>
  </conditionalFormatting>
  <conditionalFormatting sqref="J147:K147">
    <cfRule type="expression" dxfId="4050" priority="3200">
      <formula>$AD147=4</formula>
    </cfRule>
    <cfRule type="expression" dxfId="4049" priority="3201">
      <formula>$AD147=3</formula>
    </cfRule>
    <cfRule type="expression" dxfId="4048" priority="3202">
      <formula>$AD147=2</formula>
    </cfRule>
    <cfRule type="expression" dxfId="4047" priority="3203">
      <formula>$AD147=1</formula>
    </cfRule>
  </conditionalFormatting>
  <conditionalFormatting sqref="Q147:R147">
    <cfRule type="expression" dxfId="4046" priority="3196">
      <formula>$AE147=4</formula>
    </cfRule>
    <cfRule type="expression" dxfId="4045" priority="3197">
      <formula>$AE147=3</formula>
    </cfRule>
    <cfRule type="expression" dxfId="4044" priority="3198">
      <formula>$AE147=2</formula>
    </cfRule>
    <cfRule type="expression" dxfId="4043" priority="3199">
      <formula>$AE147=1</formula>
    </cfRule>
  </conditionalFormatting>
  <conditionalFormatting sqref="X147:Y147">
    <cfRule type="expression" dxfId="4042" priority="3192">
      <formula>$AF147=4</formula>
    </cfRule>
    <cfRule type="expression" dxfId="4041" priority="3193">
      <formula>$AF147=3</formula>
    </cfRule>
    <cfRule type="expression" dxfId="4040" priority="3194">
      <formula>$AF147=2</formula>
    </cfRule>
    <cfRule type="expression" dxfId="4039" priority="3195">
      <formula>$AF147=1</formula>
    </cfRule>
  </conditionalFormatting>
  <conditionalFormatting sqref="H147:K147">
    <cfRule type="expression" dxfId="4038" priority="3191">
      <formula>$AC147=2</formula>
    </cfRule>
  </conditionalFormatting>
  <conditionalFormatting sqref="L147">
    <cfRule type="expression" dxfId="4037" priority="3186">
      <formula>$AC147=2</formula>
    </cfRule>
  </conditionalFormatting>
  <conditionalFormatting sqref="O147">
    <cfRule type="expression" dxfId="4036" priority="3184">
      <formula>$AC147=2</formula>
    </cfRule>
  </conditionalFormatting>
  <conditionalFormatting sqref="V147">
    <cfRule type="expression" dxfId="4035" priority="3183">
      <formula>$AC147=2</formula>
    </cfRule>
  </conditionalFormatting>
  <conditionalFormatting sqref="J162:K162">
    <cfRule type="expression" dxfId="4034" priority="3179">
      <formula>$AD162=4</formula>
    </cfRule>
    <cfRule type="expression" dxfId="4033" priority="3180">
      <formula>$AD162=3</formula>
    </cfRule>
    <cfRule type="expression" dxfId="4032" priority="3181">
      <formula>$AD162=2</formula>
    </cfRule>
    <cfRule type="expression" dxfId="4031" priority="3182">
      <formula>$AD162=1</formula>
    </cfRule>
  </conditionalFormatting>
  <conditionalFormatting sqref="Q162:R162">
    <cfRule type="expression" dxfId="4030" priority="3175">
      <formula>$AE162=4</formula>
    </cfRule>
    <cfRule type="expression" dxfId="4029" priority="3176">
      <formula>$AE162=3</formula>
    </cfRule>
    <cfRule type="expression" dxfId="4028" priority="3177">
      <formula>$AE162=2</formula>
    </cfRule>
    <cfRule type="expression" dxfId="4027" priority="3178">
      <formula>$AE162=1</formula>
    </cfRule>
  </conditionalFormatting>
  <conditionalFormatting sqref="X162:Y162">
    <cfRule type="expression" dxfId="4026" priority="3171">
      <formula>$AF162=4</formula>
    </cfRule>
    <cfRule type="expression" dxfId="4025" priority="3172">
      <formula>$AF162=3</formula>
    </cfRule>
    <cfRule type="expression" dxfId="4024" priority="3173">
      <formula>$AF162=2</formula>
    </cfRule>
    <cfRule type="expression" dxfId="4023" priority="3174">
      <formula>$AF162=1</formula>
    </cfRule>
  </conditionalFormatting>
  <conditionalFormatting sqref="H162:K162">
    <cfRule type="expression" dxfId="4022" priority="3170">
      <formula>$AC162=2</formula>
    </cfRule>
  </conditionalFormatting>
  <conditionalFormatting sqref="L162">
    <cfRule type="expression" dxfId="4021" priority="3165">
      <formula>$AC162=2</formula>
    </cfRule>
  </conditionalFormatting>
  <conditionalFormatting sqref="O162">
    <cfRule type="expression" dxfId="4020" priority="3163">
      <formula>$AC162=2</formula>
    </cfRule>
  </conditionalFormatting>
  <conditionalFormatting sqref="V162">
    <cfRule type="expression" dxfId="4019" priority="3162">
      <formula>$AC162=2</formula>
    </cfRule>
  </conditionalFormatting>
  <conditionalFormatting sqref="J193:K193">
    <cfRule type="expression" dxfId="4018" priority="3158">
      <formula>$AD193=4</formula>
    </cfRule>
    <cfRule type="expression" dxfId="4017" priority="3159">
      <formula>$AD193=3</formula>
    </cfRule>
    <cfRule type="expression" dxfId="4016" priority="3160">
      <formula>$AD193=2</formula>
    </cfRule>
    <cfRule type="expression" dxfId="4015" priority="3161">
      <formula>$AD193=1</formula>
    </cfRule>
  </conditionalFormatting>
  <conditionalFormatting sqref="Q193:R193">
    <cfRule type="expression" dxfId="4014" priority="3154">
      <formula>$AE193=4</formula>
    </cfRule>
    <cfRule type="expression" dxfId="4013" priority="3155">
      <formula>$AE193=3</formula>
    </cfRule>
    <cfRule type="expression" dxfId="4012" priority="3156">
      <formula>$AE193=2</formula>
    </cfRule>
    <cfRule type="expression" dxfId="4011" priority="3157">
      <formula>$AE193=1</formula>
    </cfRule>
  </conditionalFormatting>
  <conditionalFormatting sqref="X193:Y193">
    <cfRule type="expression" dxfId="4010" priority="3150">
      <formula>$AF193=4</formula>
    </cfRule>
    <cfRule type="expression" dxfId="4009" priority="3151">
      <formula>$AF193=3</formula>
    </cfRule>
    <cfRule type="expression" dxfId="4008" priority="3152">
      <formula>$AF193=2</formula>
    </cfRule>
    <cfRule type="expression" dxfId="4007" priority="3153">
      <formula>$AF193=1</formula>
    </cfRule>
  </conditionalFormatting>
  <conditionalFormatting sqref="H193:K193">
    <cfRule type="expression" dxfId="4006" priority="3149">
      <formula>$AC193=2</formula>
    </cfRule>
  </conditionalFormatting>
  <conditionalFormatting sqref="L193">
    <cfRule type="expression" dxfId="4005" priority="3144">
      <formula>$AC193=2</formula>
    </cfRule>
  </conditionalFormatting>
  <conditionalFormatting sqref="O193">
    <cfRule type="expression" dxfId="4004" priority="3142">
      <formula>$AC193=2</formula>
    </cfRule>
  </conditionalFormatting>
  <conditionalFormatting sqref="V193">
    <cfRule type="expression" dxfId="4003" priority="3141">
      <formula>$AC193=2</formula>
    </cfRule>
  </conditionalFormatting>
  <conditionalFormatting sqref="Q45:R45">
    <cfRule type="expression" dxfId="4002" priority="3137">
      <formula>$AE45=4</formula>
    </cfRule>
    <cfRule type="expression" dxfId="4001" priority="3138">
      <formula>$AE45=3</formula>
    </cfRule>
    <cfRule type="expression" dxfId="4000" priority="3139">
      <formula>$AE45=2</formula>
    </cfRule>
    <cfRule type="expression" dxfId="3999" priority="3140">
      <formula>$AE45=1</formula>
    </cfRule>
  </conditionalFormatting>
  <conditionalFormatting sqref="X45:Y45">
    <cfRule type="expression" dxfId="3998" priority="3133">
      <formula>$AF45=4</formula>
    </cfRule>
    <cfRule type="expression" dxfId="3997" priority="3134">
      <formula>$AF45=3</formula>
    </cfRule>
    <cfRule type="expression" dxfId="3996" priority="3135">
      <formula>$AF45=2</formula>
    </cfRule>
    <cfRule type="expression" dxfId="3995" priority="3136">
      <formula>$AF45=1</formula>
    </cfRule>
  </conditionalFormatting>
  <conditionalFormatting sqref="X45:Y45">
    <cfRule type="expression" dxfId="3994" priority="3132">
      <formula>$AC45=2</formula>
    </cfRule>
  </conditionalFormatting>
  <conditionalFormatting sqref="J45:K45">
    <cfRule type="expression" dxfId="3993" priority="3123">
      <formula>$AD45=4</formula>
    </cfRule>
    <cfRule type="expression" dxfId="3992" priority="3124">
      <formula>$AD45=3</formula>
    </cfRule>
    <cfRule type="expression" dxfId="3991" priority="3125">
      <formula>$AD45=2</formula>
    </cfRule>
    <cfRule type="expression" dxfId="3990" priority="3126">
      <formula>$AD45=1</formula>
    </cfRule>
  </conditionalFormatting>
  <conditionalFormatting sqref="J45:K45">
    <cfRule type="expression" dxfId="3989" priority="3122">
      <formula>$AC45=2</formula>
    </cfRule>
  </conditionalFormatting>
  <conditionalFormatting sqref="L45">
    <cfRule type="expression" dxfId="3988" priority="3121">
      <formula>$AC45=2</formula>
    </cfRule>
  </conditionalFormatting>
  <conditionalFormatting sqref="O45">
    <cfRule type="expression" dxfId="3987" priority="3120">
      <formula>$AC45=2</formula>
    </cfRule>
  </conditionalFormatting>
  <conditionalFormatting sqref="V45">
    <cfRule type="expression" dxfId="3986" priority="3119">
      <formula>$AC45=2</formula>
    </cfRule>
  </conditionalFormatting>
  <conditionalFormatting sqref="Q50:R50">
    <cfRule type="expression" dxfId="3985" priority="3115">
      <formula>$AE50=4</formula>
    </cfRule>
    <cfRule type="expression" dxfId="3984" priority="3116">
      <formula>$AE50=3</formula>
    </cfRule>
    <cfRule type="expression" dxfId="3983" priority="3117">
      <formula>$AE50=2</formula>
    </cfRule>
    <cfRule type="expression" dxfId="3982" priority="3118">
      <formula>$AE50=1</formula>
    </cfRule>
  </conditionalFormatting>
  <conditionalFormatting sqref="X50:Y50">
    <cfRule type="expression" dxfId="3981" priority="3111">
      <formula>$AF50=4</formula>
    </cfRule>
    <cfRule type="expression" dxfId="3980" priority="3112">
      <formula>$AF50=3</formula>
    </cfRule>
    <cfRule type="expression" dxfId="3979" priority="3113">
      <formula>$AF50=2</formula>
    </cfRule>
    <cfRule type="expression" dxfId="3978" priority="3114">
      <formula>$AF50=1</formula>
    </cfRule>
  </conditionalFormatting>
  <conditionalFormatting sqref="X50:Y50">
    <cfRule type="expression" dxfId="3977" priority="3110">
      <formula>$AC50=2</formula>
    </cfRule>
  </conditionalFormatting>
  <conditionalFormatting sqref="J50:K50">
    <cfRule type="expression" dxfId="3976" priority="3101">
      <formula>$AD50=4</formula>
    </cfRule>
    <cfRule type="expression" dxfId="3975" priority="3102">
      <formula>$AD50=3</formula>
    </cfRule>
    <cfRule type="expression" dxfId="3974" priority="3103">
      <formula>$AD50=2</formula>
    </cfRule>
    <cfRule type="expression" dxfId="3973" priority="3104">
      <formula>$AD50=1</formula>
    </cfRule>
  </conditionalFormatting>
  <conditionalFormatting sqref="J50:K50">
    <cfRule type="expression" dxfId="3972" priority="3100">
      <formula>$AC50=2</formula>
    </cfRule>
  </conditionalFormatting>
  <conditionalFormatting sqref="L50">
    <cfRule type="expression" dxfId="3971" priority="3099">
      <formula>$AC50=2</formula>
    </cfRule>
  </conditionalFormatting>
  <conditionalFormatting sqref="O50">
    <cfRule type="expression" dxfId="3970" priority="3098">
      <formula>$AC50=2</formula>
    </cfRule>
  </conditionalFormatting>
  <conditionalFormatting sqref="V50">
    <cfRule type="expression" dxfId="3969" priority="3097">
      <formula>$AC50=2</formula>
    </cfRule>
  </conditionalFormatting>
  <conditionalFormatting sqref="Q54:R54">
    <cfRule type="expression" dxfId="3968" priority="3093">
      <formula>$AE54=4</formula>
    </cfRule>
    <cfRule type="expression" dxfId="3967" priority="3094">
      <formula>$AE54=3</formula>
    </cfRule>
    <cfRule type="expression" dxfId="3966" priority="3095">
      <formula>$AE54=2</formula>
    </cfRule>
    <cfRule type="expression" dxfId="3965" priority="3096">
      <formula>$AE54=1</formula>
    </cfRule>
  </conditionalFormatting>
  <conditionalFormatting sqref="X54:Y54">
    <cfRule type="expression" dxfId="3964" priority="3089">
      <formula>$AF54=4</formula>
    </cfRule>
    <cfRule type="expression" dxfId="3963" priority="3090">
      <formula>$AF54=3</formula>
    </cfRule>
    <cfRule type="expression" dxfId="3962" priority="3091">
      <formula>$AF54=2</formula>
    </cfRule>
    <cfRule type="expression" dxfId="3961" priority="3092">
      <formula>$AF54=1</formula>
    </cfRule>
  </conditionalFormatting>
  <conditionalFormatting sqref="X54:Y54">
    <cfRule type="expression" dxfId="3960" priority="3088">
      <formula>$AC54=2</formula>
    </cfRule>
  </conditionalFormatting>
  <conditionalFormatting sqref="J54:K54">
    <cfRule type="expression" dxfId="3959" priority="3079">
      <formula>$AD54=4</formula>
    </cfRule>
    <cfRule type="expression" dxfId="3958" priority="3080">
      <formula>$AD54=3</formula>
    </cfRule>
    <cfRule type="expression" dxfId="3957" priority="3081">
      <formula>$AD54=2</formula>
    </cfRule>
    <cfRule type="expression" dxfId="3956" priority="3082">
      <formula>$AD54=1</formula>
    </cfRule>
  </conditionalFormatting>
  <conditionalFormatting sqref="J54:K54">
    <cfRule type="expression" dxfId="3955" priority="3078">
      <formula>$AC54=2</formula>
    </cfRule>
  </conditionalFormatting>
  <conditionalFormatting sqref="L54">
    <cfRule type="expression" dxfId="3954" priority="3077">
      <formula>$AC54=2</formula>
    </cfRule>
  </conditionalFormatting>
  <conditionalFormatting sqref="O54">
    <cfRule type="expression" dxfId="3953" priority="3076">
      <formula>$AC54=2</formula>
    </cfRule>
  </conditionalFormatting>
  <conditionalFormatting sqref="V54">
    <cfRule type="expression" dxfId="3952" priority="3075">
      <formula>$AC54=2</formula>
    </cfRule>
  </conditionalFormatting>
  <conditionalFormatting sqref="Q57:R57">
    <cfRule type="expression" dxfId="3951" priority="3071">
      <formula>$AE57=4</formula>
    </cfRule>
    <cfRule type="expression" dxfId="3950" priority="3072">
      <formula>$AE57=3</formula>
    </cfRule>
    <cfRule type="expression" dxfId="3949" priority="3073">
      <formula>$AE57=2</formula>
    </cfRule>
    <cfRule type="expression" dxfId="3948" priority="3074">
      <formula>$AE57=1</formula>
    </cfRule>
  </conditionalFormatting>
  <conditionalFormatting sqref="X57:Y57">
    <cfRule type="expression" dxfId="3947" priority="3067">
      <formula>$AF57=4</formula>
    </cfRule>
    <cfRule type="expression" dxfId="3946" priority="3068">
      <formula>$AF57=3</formula>
    </cfRule>
    <cfRule type="expression" dxfId="3945" priority="3069">
      <formula>$AF57=2</formula>
    </cfRule>
    <cfRule type="expression" dxfId="3944" priority="3070">
      <formula>$AF57=1</formula>
    </cfRule>
  </conditionalFormatting>
  <conditionalFormatting sqref="X57:Y57">
    <cfRule type="expression" dxfId="3943" priority="3066">
      <formula>$AC57=2</formula>
    </cfRule>
  </conditionalFormatting>
  <conditionalFormatting sqref="J57:K57">
    <cfRule type="expression" dxfId="3942" priority="3057">
      <formula>$AD57=4</formula>
    </cfRule>
    <cfRule type="expression" dxfId="3941" priority="3058">
      <formula>$AD57=3</formula>
    </cfRule>
    <cfRule type="expression" dxfId="3940" priority="3059">
      <formula>$AD57=2</formula>
    </cfRule>
    <cfRule type="expression" dxfId="3939" priority="3060">
      <formula>$AD57=1</formula>
    </cfRule>
  </conditionalFormatting>
  <conditionalFormatting sqref="J57:K57">
    <cfRule type="expression" dxfId="3938" priority="3056">
      <formula>$AC57=2</formula>
    </cfRule>
  </conditionalFormatting>
  <conditionalFormatting sqref="L57">
    <cfRule type="expression" dxfId="3937" priority="3055">
      <formula>$AC57=2</formula>
    </cfRule>
  </conditionalFormatting>
  <conditionalFormatting sqref="O57">
    <cfRule type="expression" dxfId="3936" priority="3054">
      <formula>$AC57=2</formula>
    </cfRule>
  </conditionalFormatting>
  <conditionalFormatting sqref="V57">
    <cfRule type="expression" dxfId="3935" priority="3053">
      <formula>$AC57=2</formula>
    </cfRule>
  </conditionalFormatting>
  <conditionalFormatting sqref="Q60:R60">
    <cfRule type="expression" dxfId="3934" priority="3049">
      <formula>$AE60=4</formula>
    </cfRule>
    <cfRule type="expression" dxfId="3933" priority="3050">
      <formula>$AE60=3</formula>
    </cfRule>
    <cfRule type="expression" dxfId="3932" priority="3051">
      <formula>$AE60=2</formula>
    </cfRule>
    <cfRule type="expression" dxfId="3931" priority="3052">
      <formula>$AE60=1</formula>
    </cfRule>
  </conditionalFormatting>
  <conditionalFormatting sqref="X60:Y60">
    <cfRule type="expression" dxfId="3930" priority="3045">
      <formula>$AF60=4</formula>
    </cfRule>
    <cfRule type="expression" dxfId="3929" priority="3046">
      <formula>$AF60=3</formula>
    </cfRule>
    <cfRule type="expression" dxfId="3928" priority="3047">
      <formula>$AF60=2</formula>
    </cfRule>
    <cfRule type="expression" dxfId="3927" priority="3048">
      <formula>$AF60=1</formula>
    </cfRule>
  </conditionalFormatting>
  <conditionalFormatting sqref="X60:Y60">
    <cfRule type="expression" dxfId="3926" priority="3044">
      <formula>$AC60=2</formula>
    </cfRule>
  </conditionalFormatting>
  <conditionalFormatting sqref="J60:K60">
    <cfRule type="expression" dxfId="3925" priority="3035">
      <formula>$AD60=4</formula>
    </cfRule>
    <cfRule type="expression" dxfId="3924" priority="3036">
      <formula>$AD60=3</formula>
    </cfRule>
    <cfRule type="expression" dxfId="3923" priority="3037">
      <formula>$AD60=2</formula>
    </cfRule>
    <cfRule type="expression" dxfId="3922" priority="3038">
      <formula>$AD60=1</formula>
    </cfRule>
  </conditionalFormatting>
  <conditionalFormatting sqref="J60:K60">
    <cfRule type="expression" dxfId="3921" priority="3034">
      <formula>$AC60=2</formula>
    </cfRule>
  </conditionalFormatting>
  <conditionalFormatting sqref="L60">
    <cfRule type="expression" dxfId="3920" priority="3033">
      <formula>$AC60=2</formula>
    </cfRule>
  </conditionalFormatting>
  <conditionalFormatting sqref="O60">
    <cfRule type="expression" dxfId="3919" priority="4490">
      <formula>$AC60=2</formula>
    </cfRule>
  </conditionalFormatting>
  <conditionalFormatting sqref="V60">
    <cfRule type="expression" dxfId="3918" priority="3031">
      <formula>$AC60=2</formula>
    </cfRule>
  </conditionalFormatting>
  <conditionalFormatting sqref="Q72:R72">
    <cfRule type="expression" dxfId="3917" priority="3027">
      <formula>$AE72=4</formula>
    </cfRule>
    <cfRule type="expression" dxfId="3916" priority="3028">
      <formula>$AE72=3</formula>
    </cfRule>
    <cfRule type="expression" dxfId="3915" priority="3029">
      <formula>$AE72=2</formula>
    </cfRule>
    <cfRule type="expression" dxfId="3914" priority="3030">
      <formula>$AE72=1</formula>
    </cfRule>
  </conditionalFormatting>
  <conditionalFormatting sqref="X72:Y72">
    <cfRule type="expression" dxfId="3913" priority="3023">
      <formula>$AF72=4</formula>
    </cfRule>
    <cfRule type="expression" dxfId="3912" priority="3024">
      <formula>$AF72=3</formula>
    </cfRule>
    <cfRule type="expression" dxfId="3911" priority="3025">
      <formula>$AF72=2</formula>
    </cfRule>
    <cfRule type="expression" dxfId="3910" priority="3026">
      <formula>$AF72=1</formula>
    </cfRule>
  </conditionalFormatting>
  <conditionalFormatting sqref="X72:Y72">
    <cfRule type="expression" dxfId="3909" priority="3022">
      <formula>$AC72=2</formula>
    </cfRule>
  </conditionalFormatting>
  <conditionalFormatting sqref="J72:K72">
    <cfRule type="expression" dxfId="3908" priority="3013">
      <formula>$AD72=4</formula>
    </cfRule>
    <cfRule type="expression" dxfId="3907" priority="3014">
      <formula>$AD72=3</formula>
    </cfRule>
    <cfRule type="expression" dxfId="3906" priority="3015">
      <formula>$AD72=2</formula>
    </cfRule>
    <cfRule type="expression" dxfId="3905" priority="3016">
      <formula>$AD72=1</formula>
    </cfRule>
  </conditionalFormatting>
  <conditionalFormatting sqref="J72:K72">
    <cfRule type="expression" dxfId="3904" priority="3012">
      <formula>$AC72=2</formula>
    </cfRule>
  </conditionalFormatting>
  <conditionalFormatting sqref="L72">
    <cfRule type="expression" dxfId="3903" priority="3011">
      <formula>$AC72=2</formula>
    </cfRule>
  </conditionalFormatting>
  <conditionalFormatting sqref="O72">
    <cfRule type="expression" dxfId="3902" priority="3010">
      <formula>$AC72=2</formula>
    </cfRule>
  </conditionalFormatting>
  <conditionalFormatting sqref="V72">
    <cfRule type="expression" dxfId="3901" priority="3009">
      <formula>$AC72=2</formula>
    </cfRule>
  </conditionalFormatting>
  <conditionalFormatting sqref="Q76:R76">
    <cfRule type="expression" dxfId="3900" priority="3005">
      <formula>$AE76=4</formula>
    </cfRule>
    <cfRule type="expression" dxfId="3899" priority="3006">
      <formula>$AE76=3</formula>
    </cfRule>
    <cfRule type="expression" dxfId="3898" priority="3007">
      <formula>$AE76=2</formula>
    </cfRule>
    <cfRule type="expression" dxfId="3897" priority="3008">
      <formula>$AE76=1</formula>
    </cfRule>
  </conditionalFormatting>
  <conditionalFormatting sqref="X76:Y76">
    <cfRule type="expression" dxfId="3896" priority="3001">
      <formula>$AF76=4</formula>
    </cfRule>
    <cfRule type="expression" dxfId="3895" priority="3002">
      <formula>$AF76=3</formula>
    </cfRule>
    <cfRule type="expression" dxfId="3894" priority="3003">
      <formula>$AF76=2</formula>
    </cfRule>
    <cfRule type="expression" dxfId="3893" priority="3004">
      <formula>$AF76=1</formula>
    </cfRule>
  </conditionalFormatting>
  <conditionalFormatting sqref="X76:Y76">
    <cfRule type="expression" dxfId="3892" priority="3000">
      <formula>$AC76=2</formula>
    </cfRule>
  </conditionalFormatting>
  <conditionalFormatting sqref="J76:K76">
    <cfRule type="expression" dxfId="3891" priority="2991">
      <formula>$AD76=4</formula>
    </cfRule>
    <cfRule type="expression" dxfId="3890" priority="2992">
      <formula>$AD76=3</formula>
    </cfRule>
    <cfRule type="expression" dxfId="3889" priority="2993">
      <formula>$AD76=2</formula>
    </cfRule>
    <cfRule type="expression" dxfId="3888" priority="2994">
      <formula>$AD76=1</formula>
    </cfRule>
  </conditionalFormatting>
  <conditionalFormatting sqref="J76:K76">
    <cfRule type="expression" dxfId="3887" priority="2990">
      <formula>$AC76=2</formula>
    </cfRule>
  </conditionalFormatting>
  <conditionalFormatting sqref="L76">
    <cfRule type="expression" dxfId="3886" priority="2989">
      <formula>$AC76=2</formula>
    </cfRule>
  </conditionalFormatting>
  <conditionalFormatting sqref="O76">
    <cfRule type="expression" dxfId="3885" priority="2988">
      <formula>$AC76=2</formula>
    </cfRule>
  </conditionalFormatting>
  <conditionalFormatting sqref="V76">
    <cfRule type="expression" dxfId="3884" priority="2987">
      <formula>$AC76=2</formula>
    </cfRule>
  </conditionalFormatting>
  <conditionalFormatting sqref="Q79:R79">
    <cfRule type="expression" dxfId="3883" priority="2983">
      <formula>$AE79=4</formula>
    </cfRule>
    <cfRule type="expression" dxfId="3882" priority="2984">
      <formula>$AE79=3</formula>
    </cfRule>
    <cfRule type="expression" dxfId="3881" priority="2985">
      <formula>$AE79=2</formula>
    </cfRule>
    <cfRule type="expression" dxfId="3880" priority="2986">
      <formula>$AE79=1</formula>
    </cfRule>
  </conditionalFormatting>
  <conditionalFormatting sqref="X79:Y79">
    <cfRule type="expression" dxfId="3879" priority="2979">
      <formula>$AF79=4</formula>
    </cfRule>
    <cfRule type="expression" dxfId="3878" priority="2980">
      <formula>$AF79=3</formula>
    </cfRule>
    <cfRule type="expression" dxfId="3877" priority="2981">
      <formula>$AF79=2</formula>
    </cfRule>
    <cfRule type="expression" dxfId="3876" priority="2982">
      <formula>$AF79=1</formula>
    </cfRule>
  </conditionalFormatting>
  <conditionalFormatting sqref="X79:Y79">
    <cfRule type="expression" dxfId="3875" priority="2978">
      <formula>$AC79=2</formula>
    </cfRule>
  </conditionalFormatting>
  <conditionalFormatting sqref="J79:K79">
    <cfRule type="expression" dxfId="3874" priority="2969">
      <formula>$AD79=4</formula>
    </cfRule>
    <cfRule type="expression" dxfId="3873" priority="2970">
      <formula>$AD79=3</formula>
    </cfRule>
    <cfRule type="expression" dxfId="3872" priority="2971">
      <formula>$AD79=2</formula>
    </cfRule>
    <cfRule type="expression" dxfId="3871" priority="2972">
      <formula>$AD79=1</formula>
    </cfRule>
  </conditionalFormatting>
  <conditionalFormatting sqref="J79:K79">
    <cfRule type="expression" dxfId="3870" priority="2968">
      <formula>$AC79=2</formula>
    </cfRule>
  </conditionalFormatting>
  <conditionalFormatting sqref="L79">
    <cfRule type="expression" dxfId="3869" priority="2967">
      <formula>$AC79=2</formula>
    </cfRule>
  </conditionalFormatting>
  <conditionalFormatting sqref="O79">
    <cfRule type="expression" dxfId="3868" priority="2966">
      <formula>$AC79=2</formula>
    </cfRule>
  </conditionalFormatting>
  <conditionalFormatting sqref="V79">
    <cfRule type="expression" dxfId="3867" priority="2965">
      <formula>$AC79=2</formula>
    </cfRule>
  </conditionalFormatting>
  <conditionalFormatting sqref="Q82:R82">
    <cfRule type="expression" dxfId="3866" priority="2961">
      <formula>$AE82=4</formula>
    </cfRule>
    <cfRule type="expression" dxfId="3865" priority="2962">
      <formula>$AE82=3</formula>
    </cfRule>
    <cfRule type="expression" dxfId="3864" priority="2963">
      <formula>$AE82=2</formula>
    </cfRule>
    <cfRule type="expression" dxfId="3863" priority="2964">
      <formula>$AE82=1</formula>
    </cfRule>
  </conditionalFormatting>
  <conditionalFormatting sqref="X82:Y82">
    <cfRule type="expression" dxfId="3862" priority="2957">
      <formula>$AF82=4</formula>
    </cfRule>
    <cfRule type="expression" dxfId="3861" priority="2958">
      <formula>$AF82=3</formula>
    </cfRule>
    <cfRule type="expression" dxfId="3860" priority="2959">
      <formula>$AF82=2</formula>
    </cfRule>
    <cfRule type="expression" dxfId="3859" priority="2960">
      <formula>$AF82=1</formula>
    </cfRule>
  </conditionalFormatting>
  <conditionalFormatting sqref="X82:Y82">
    <cfRule type="expression" dxfId="3858" priority="2956">
      <formula>$AC82=2</formula>
    </cfRule>
  </conditionalFormatting>
  <conditionalFormatting sqref="J82:K82">
    <cfRule type="expression" dxfId="3857" priority="2947">
      <formula>$AD82=4</formula>
    </cfRule>
    <cfRule type="expression" dxfId="3856" priority="2948">
      <formula>$AD82=3</formula>
    </cfRule>
    <cfRule type="expression" dxfId="3855" priority="2949">
      <formula>$AD82=2</formula>
    </cfRule>
    <cfRule type="expression" dxfId="3854" priority="2950">
      <formula>$AD82=1</formula>
    </cfRule>
  </conditionalFormatting>
  <conditionalFormatting sqref="J82:K82">
    <cfRule type="expression" dxfId="3853" priority="2946">
      <formula>$AC82=2</formula>
    </cfRule>
  </conditionalFormatting>
  <conditionalFormatting sqref="L82">
    <cfRule type="expression" dxfId="3852" priority="2945">
      <formula>$AC82=2</formula>
    </cfRule>
  </conditionalFormatting>
  <conditionalFormatting sqref="O82">
    <cfRule type="expression" dxfId="3851" priority="2944">
      <formula>$AC82=2</formula>
    </cfRule>
  </conditionalFormatting>
  <conditionalFormatting sqref="V82">
    <cfRule type="expression" dxfId="3850" priority="2943">
      <formula>$AC82=2</formula>
    </cfRule>
  </conditionalFormatting>
  <conditionalFormatting sqref="Q86:R86">
    <cfRule type="expression" dxfId="3849" priority="2939">
      <formula>$AE86=4</formula>
    </cfRule>
    <cfRule type="expression" dxfId="3848" priority="2940">
      <formula>$AE86=3</formula>
    </cfRule>
    <cfRule type="expression" dxfId="3847" priority="2941">
      <formula>$AE86=2</formula>
    </cfRule>
    <cfRule type="expression" dxfId="3846" priority="2942">
      <formula>$AE86=1</formula>
    </cfRule>
  </conditionalFormatting>
  <conditionalFormatting sqref="X86:Y86">
    <cfRule type="expression" dxfId="3845" priority="2935">
      <formula>$AF86=4</formula>
    </cfRule>
    <cfRule type="expression" dxfId="3844" priority="2936">
      <formula>$AF86=3</formula>
    </cfRule>
    <cfRule type="expression" dxfId="3843" priority="2937">
      <formula>$AF86=2</formula>
    </cfRule>
    <cfRule type="expression" dxfId="3842" priority="2938">
      <formula>$AF86=1</formula>
    </cfRule>
  </conditionalFormatting>
  <conditionalFormatting sqref="X86:Y86">
    <cfRule type="expression" dxfId="3841" priority="2934">
      <formula>$AC86=2</formula>
    </cfRule>
  </conditionalFormatting>
  <conditionalFormatting sqref="J86:K86">
    <cfRule type="expression" dxfId="3840" priority="2925">
      <formula>$AD86=4</formula>
    </cfRule>
    <cfRule type="expression" dxfId="3839" priority="2926">
      <formula>$AD86=3</formula>
    </cfRule>
    <cfRule type="expression" dxfId="3838" priority="2927">
      <formula>$AD86=2</formula>
    </cfRule>
    <cfRule type="expression" dxfId="3837" priority="2928">
      <formula>$AD86=1</formula>
    </cfRule>
  </conditionalFormatting>
  <conditionalFormatting sqref="J86:K86">
    <cfRule type="expression" dxfId="3836" priority="2924">
      <formula>$AC86=2</formula>
    </cfRule>
  </conditionalFormatting>
  <conditionalFormatting sqref="L86">
    <cfRule type="expression" dxfId="3835" priority="2923">
      <formula>$AC86=2</formula>
    </cfRule>
  </conditionalFormatting>
  <conditionalFormatting sqref="O86">
    <cfRule type="expression" dxfId="3834" priority="2922">
      <formula>$AC86=2</formula>
    </cfRule>
  </conditionalFormatting>
  <conditionalFormatting sqref="V86">
    <cfRule type="expression" dxfId="3833" priority="2921">
      <formula>$AC86=2</formula>
    </cfRule>
  </conditionalFormatting>
  <conditionalFormatting sqref="Q89:R89">
    <cfRule type="expression" dxfId="3832" priority="2917">
      <formula>$AE89=4</formula>
    </cfRule>
    <cfRule type="expression" dxfId="3831" priority="2918">
      <formula>$AE89=3</formula>
    </cfRule>
    <cfRule type="expression" dxfId="3830" priority="2919">
      <formula>$AE89=2</formula>
    </cfRule>
    <cfRule type="expression" dxfId="3829" priority="2920">
      <formula>$AE89=1</formula>
    </cfRule>
  </conditionalFormatting>
  <conditionalFormatting sqref="X89:Y89">
    <cfRule type="expression" dxfId="3828" priority="2913">
      <formula>$AF89=4</formula>
    </cfRule>
    <cfRule type="expression" dxfId="3827" priority="2914">
      <formula>$AF89=3</formula>
    </cfRule>
    <cfRule type="expression" dxfId="3826" priority="2915">
      <formula>$AF89=2</formula>
    </cfRule>
    <cfRule type="expression" dxfId="3825" priority="2916">
      <formula>$AF89=1</formula>
    </cfRule>
  </conditionalFormatting>
  <conditionalFormatting sqref="X89:Y89">
    <cfRule type="expression" dxfId="3824" priority="2912">
      <formula>$AC89=2</formula>
    </cfRule>
  </conditionalFormatting>
  <conditionalFormatting sqref="J89:K89">
    <cfRule type="expression" dxfId="3823" priority="2903">
      <formula>$AD89=4</formula>
    </cfRule>
    <cfRule type="expression" dxfId="3822" priority="2904">
      <formula>$AD89=3</formula>
    </cfRule>
    <cfRule type="expression" dxfId="3821" priority="2905">
      <formula>$AD89=2</formula>
    </cfRule>
    <cfRule type="expression" dxfId="3820" priority="2906">
      <formula>$AD89=1</formula>
    </cfRule>
  </conditionalFormatting>
  <conditionalFormatting sqref="J89:K89">
    <cfRule type="expression" dxfId="3819" priority="2902">
      <formula>$AC89=2</formula>
    </cfRule>
  </conditionalFormatting>
  <conditionalFormatting sqref="L89">
    <cfRule type="expression" dxfId="3818" priority="2901">
      <formula>$AC89=2</formula>
    </cfRule>
  </conditionalFormatting>
  <conditionalFormatting sqref="O89">
    <cfRule type="expression" dxfId="3817" priority="2900">
      <formula>$AC89=2</formula>
    </cfRule>
  </conditionalFormatting>
  <conditionalFormatting sqref="V89">
    <cfRule type="expression" dxfId="3816" priority="2899">
      <formula>$AC89=2</formula>
    </cfRule>
  </conditionalFormatting>
  <conditionalFormatting sqref="Q97:R97">
    <cfRule type="expression" dxfId="3815" priority="2895">
      <formula>$AE97=4</formula>
    </cfRule>
    <cfRule type="expression" dxfId="3814" priority="2896">
      <formula>$AE97=3</formula>
    </cfRule>
    <cfRule type="expression" dxfId="3813" priority="2897">
      <formula>$AE97=2</formula>
    </cfRule>
    <cfRule type="expression" dxfId="3812" priority="2898">
      <formula>$AE97=1</formula>
    </cfRule>
  </conditionalFormatting>
  <conditionalFormatting sqref="X97:Y97">
    <cfRule type="expression" dxfId="3811" priority="2891">
      <formula>$AF97=4</formula>
    </cfRule>
    <cfRule type="expression" dxfId="3810" priority="2892">
      <formula>$AF97=3</formula>
    </cfRule>
    <cfRule type="expression" dxfId="3809" priority="2893">
      <formula>$AF97=2</formula>
    </cfRule>
    <cfRule type="expression" dxfId="3808" priority="2894">
      <formula>$AF97=1</formula>
    </cfRule>
  </conditionalFormatting>
  <conditionalFormatting sqref="X97:Y97">
    <cfRule type="expression" dxfId="3807" priority="2890">
      <formula>$AC97=2</formula>
    </cfRule>
  </conditionalFormatting>
  <conditionalFormatting sqref="J97:K97">
    <cfRule type="expression" dxfId="3806" priority="2881">
      <formula>$AD97=4</formula>
    </cfRule>
    <cfRule type="expression" dxfId="3805" priority="2882">
      <formula>$AD97=3</formula>
    </cfRule>
    <cfRule type="expression" dxfId="3804" priority="2883">
      <formula>$AD97=2</formula>
    </cfRule>
    <cfRule type="expression" dxfId="3803" priority="2884">
      <formula>$AD97=1</formula>
    </cfRule>
  </conditionalFormatting>
  <conditionalFormatting sqref="J97:K97">
    <cfRule type="expression" dxfId="3802" priority="2880">
      <formula>$AC97=2</formula>
    </cfRule>
  </conditionalFormatting>
  <conditionalFormatting sqref="L97">
    <cfRule type="expression" dxfId="3801" priority="2879">
      <formula>$AC97=2</formula>
    </cfRule>
  </conditionalFormatting>
  <conditionalFormatting sqref="O97">
    <cfRule type="expression" dxfId="3800" priority="2878">
      <formula>$AC97=2</formula>
    </cfRule>
  </conditionalFormatting>
  <conditionalFormatting sqref="V97">
    <cfRule type="expression" dxfId="3799" priority="2877">
      <formula>$AC97=2</formula>
    </cfRule>
  </conditionalFormatting>
  <conditionalFormatting sqref="Q106:R106">
    <cfRule type="expression" dxfId="3798" priority="2873">
      <formula>$AE106=4</formula>
    </cfRule>
    <cfRule type="expression" dxfId="3797" priority="2874">
      <formula>$AE106=3</formula>
    </cfRule>
    <cfRule type="expression" dxfId="3796" priority="2875">
      <formula>$AE106=2</formula>
    </cfRule>
    <cfRule type="expression" dxfId="3795" priority="2876">
      <formula>$AE106=1</formula>
    </cfRule>
  </conditionalFormatting>
  <conditionalFormatting sqref="X106:Y106">
    <cfRule type="expression" dxfId="3794" priority="2869">
      <formula>$AF106=4</formula>
    </cfRule>
    <cfRule type="expression" dxfId="3793" priority="2870">
      <formula>$AF106=3</formula>
    </cfRule>
    <cfRule type="expression" dxfId="3792" priority="2871">
      <formula>$AF106=2</formula>
    </cfRule>
    <cfRule type="expression" dxfId="3791" priority="2872">
      <formula>$AF106=1</formula>
    </cfRule>
  </conditionalFormatting>
  <conditionalFormatting sqref="X106:Y106">
    <cfRule type="expression" dxfId="3790" priority="2868">
      <formula>$AC106=2</formula>
    </cfRule>
  </conditionalFormatting>
  <conditionalFormatting sqref="J106:K106">
    <cfRule type="expression" dxfId="3789" priority="2859">
      <formula>$AD106=4</formula>
    </cfRule>
    <cfRule type="expression" dxfId="3788" priority="2860">
      <formula>$AD106=3</formula>
    </cfRule>
    <cfRule type="expression" dxfId="3787" priority="2861">
      <formula>$AD106=2</formula>
    </cfRule>
    <cfRule type="expression" dxfId="3786" priority="2862">
      <formula>$AD106=1</formula>
    </cfRule>
  </conditionalFormatting>
  <conditionalFormatting sqref="J106:K106">
    <cfRule type="expression" dxfId="3785" priority="2858">
      <formula>$AC106=2</formula>
    </cfRule>
  </conditionalFormatting>
  <conditionalFormatting sqref="L106">
    <cfRule type="expression" dxfId="3784" priority="2857">
      <formula>$AC106=2</formula>
    </cfRule>
  </conditionalFormatting>
  <conditionalFormatting sqref="O106">
    <cfRule type="expression" dxfId="3783" priority="2856">
      <formula>$AC106=2</formula>
    </cfRule>
  </conditionalFormatting>
  <conditionalFormatting sqref="V106">
    <cfRule type="expression" dxfId="3782" priority="2855">
      <formula>$AC106=2</formula>
    </cfRule>
  </conditionalFormatting>
  <conditionalFormatting sqref="Q108:R108">
    <cfRule type="expression" dxfId="3781" priority="2851">
      <formula>$AE108=4</formula>
    </cfRule>
    <cfRule type="expression" dxfId="3780" priority="2852">
      <formula>$AE108=3</formula>
    </cfRule>
    <cfRule type="expression" dxfId="3779" priority="2853">
      <formula>$AE108=2</formula>
    </cfRule>
    <cfRule type="expression" dxfId="3778" priority="2854">
      <formula>$AE108=1</formula>
    </cfRule>
  </conditionalFormatting>
  <conditionalFormatting sqref="X108:Y108">
    <cfRule type="expression" dxfId="3777" priority="2847">
      <formula>$AF108=4</formula>
    </cfRule>
    <cfRule type="expression" dxfId="3776" priority="2848">
      <formula>$AF108=3</formula>
    </cfRule>
    <cfRule type="expression" dxfId="3775" priority="2849">
      <formula>$AF108=2</formula>
    </cfRule>
    <cfRule type="expression" dxfId="3774" priority="2850">
      <formula>$AF108=1</formula>
    </cfRule>
  </conditionalFormatting>
  <conditionalFormatting sqref="X108:Y108">
    <cfRule type="expression" dxfId="3773" priority="2846">
      <formula>$AC108=2</formula>
    </cfRule>
  </conditionalFormatting>
  <conditionalFormatting sqref="J108:K108">
    <cfRule type="expression" dxfId="3772" priority="2837">
      <formula>$AD108=4</formula>
    </cfRule>
    <cfRule type="expression" dxfId="3771" priority="2838">
      <formula>$AD108=3</formula>
    </cfRule>
    <cfRule type="expression" dxfId="3770" priority="2839">
      <formula>$AD108=2</formula>
    </cfRule>
    <cfRule type="expression" dxfId="3769" priority="2840">
      <formula>$AD108=1</formula>
    </cfRule>
  </conditionalFormatting>
  <conditionalFormatting sqref="L108">
    <cfRule type="expression" dxfId="3768" priority="2835">
      <formula>$AC108=2</formula>
    </cfRule>
  </conditionalFormatting>
  <conditionalFormatting sqref="V108">
    <cfRule type="expression" dxfId="3767" priority="2833">
      <formula>$AC108=2</formula>
    </cfRule>
  </conditionalFormatting>
  <conditionalFormatting sqref="Q112:R112">
    <cfRule type="expression" dxfId="3766" priority="2829">
      <formula>$AE112=4</formula>
    </cfRule>
    <cfRule type="expression" dxfId="3765" priority="2830">
      <formula>$AE112=3</formula>
    </cfRule>
    <cfRule type="expression" dxfId="3764" priority="2831">
      <formula>$AE112=2</formula>
    </cfRule>
    <cfRule type="expression" dxfId="3763" priority="2832">
      <formula>$AE112=1</formula>
    </cfRule>
  </conditionalFormatting>
  <conditionalFormatting sqref="X112:Y112">
    <cfRule type="expression" dxfId="3762" priority="2825">
      <formula>$AF112=4</formula>
    </cfRule>
    <cfRule type="expression" dxfId="3761" priority="2826">
      <formula>$AF112=3</formula>
    </cfRule>
    <cfRule type="expression" dxfId="3760" priority="2827">
      <formula>$AF112=2</formula>
    </cfRule>
    <cfRule type="expression" dxfId="3759" priority="2828">
      <formula>$AF112=1</formula>
    </cfRule>
  </conditionalFormatting>
  <conditionalFormatting sqref="X112:Y112">
    <cfRule type="expression" dxfId="3758" priority="2824">
      <formula>$AC112=2</formula>
    </cfRule>
  </conditionalFormatting>
  <conditionalFormatting sqref="J112:K112">
    <cfRule type="expression" dxfId="3757" priority="2815">
      <formula>$AD112=4</formula>
    </cfRule>
    <cfRule type="expression" dxfId="3756" priority="2816">
      <formula>$AD112=3</formula>
    </cfRule>
    <cfRule type="expression" dxfId="3755" priority="2817">
      <formula>$AD112=2</formula>
    </cfRule>
    <cfRule type="expression" dxfId="3754" priority="2818">
      <formula>$AD112=1</formula>
    </cfRule>
  </conditionalFormatting>
  <conditionalFormatting sqref="J112:K112">
    <cfRule type="expression" dxfId="3753" priority="2814">
      <formula>$AC112=2</formula>
    </cfRule>
  </conditionalFormatting>
  <conditionalFormatting sqref="L112">
    <cfRule type="expression" dxfId="3752" priority="2813">
      <formula>$AC112=2</formula>
    </cfRule>
  </conditionalFormatting>
  <conditionalFormatting sqref="O112">
    <cfRule type="expression" dxfId="3751" priority="2812">
      <formula>$AC112=2</formula>
    </cfRule>
  </conditionalFormatting>
  <conditionalFormatting sqref="V112">
    <cfRule type="expression" dxfId="3750" priority="2811">
      <formula>$AC112=2</formula>
    </cfRule>
  </conditionalFormatting>
  <conditionalFormatting sqref="Q121:R121">
    <cfRule type="expression" dxfId="3749" priority="2807">
      <formula>$AE121=4</formula>
    </cfRule>
    <cfRule type="expression" dxfId="3748" priority="2808">
      <formula>$AE121=3</formula>
    </cfRule>
    <cfRule type="expression" dxfId="3747" priority="2809">
      <formula>$AE121=2</formula>
    </cfRule>
    <cfRule type="expression" dxfId="3746" priority="2810">
      <formula>$AE121=1</formula>
    </cfRule>
  </conditionalFormatting>
  <conditionalFormatting sqref="X121:Y121">
    <cfRule type="expression" dxfId="3745" priority="2803">
      <formula>$AF121=4</formula>
    </cfRule>
    <cfRule type="expression" dxfId="3744" priority="2804">
      <formula>$AF121=3</formula>
    </cfRule>
    <cfRule type="expression" dxfId="3743" priority="2805">
      <formula>$AF121=2</formula>
    </cfRule>
    <cfRule type="expression" dxfId="3742" priority="2806">
      <formula>$AF121=1</formula>
    </cfRule>
  </conditionalFormatting>
  <conditionalFormatting sqref="J121:K121">
    <cfRule type="expression" dxfId="3741" priority="2793">
      <formula>$AD121=4</formula>
    </cfRule>
    <cfRule type="expression" dxfId="3740" priority="2794">
      <formula>$AD121=3</formula>
    </cfRule>
    <cfRule type="expression" dxfId="3739" priority="2795">
      <formula>$AD121=2</formula>
    </cfRule>
    <cfRule type="expression" dxfId="3738" priority="2796">
      <formula>$AD121=1</formula>
    </cfRule>
  </conditionalFormatting>
  <conditionalFormatting sqref="J121:K121">
    <cfRule type="expression" dxfId="3737" priority="2792">
      <formula>$AC121=2</formula>
    </cfRule>
  </conditionalFormatting>
  <conditionalFormatting sqref="L121">
    <cfRule type="expression" dxfId="3736" priority="2791">
      <formula>$AC121=2</formula>
    </cfRule>
  </conditionalFormatting>
  <conditionalFormatting sqref="O121">
    <cfRule type="expression" dxfId="3735" priority="2790">
      <formula>$AC121=2</formula>
    </cfRule>
  </conditionalFormatting>
  <conditionalFormatting sqref="V121">
    <cfRule type="expression" dxfId="3734" priority="2789">
      <formula>$AC121=2</formula>
    </cfRule>
  </conditionalFormatting>
  <conditionalFormatting sqref="Q125:R125">
    <cfRule type="expression" dxfId="3733" priority="2785">
      <formula>$AE125=4</formula>
    </cfRule>
    <cfRule type="expression" dxfId="3732" priority="2786">
      <formula>$AE125=3</formula>
    </cfRule>
    <cfRule type="expression" dxfId="3731" priority="2787">
      <formula>$AE125=2</formula>
    </cfRule>
    <cfRule type="expression" dxfId="3730" priority="2788">
      <formula>$AE125=1</formula>
    </cfRule>
  </conditionalFormatting>
  <conditionalFormatting sqref="X125:Y125">
    <cfRule type="expression" dxfId="3729" priority="2781">
      <formula>$AF125=4</formula>
    </cfRule>
    <cfRule type="expression" dxfId="3728" priority="2782">
      <formula>$AF125=3</formula>
    </cfRule>
    <cfRule type="expression" dxfId="3727" priority="2783">
      <formula>$AF125=2</formula>
    </cfRule>
    <cfRule type="expression" dxfId="3726" priority="2784">
      <formula>$AF125=1</formula>
    </cfRule>
  </conditionalFormatting>
  <conditionalFormatting sqref="X125:Y125">
    <cfRule type="expression" dxfId="3725" priority="2780">
      <formula>$AC125=2</formula>
    </cfRule>
  </conditionalFormatting>
  <conditionalFormatting sqref="J125:K125">
    <cfRule type="expression" dxfId="3724" priority="2771">
      <formula>$AD125=4</formula>
    </cfRule>
    <cfRule type="expression" dxfId="3723" priority="2772">
      <formula>$AD125=3</formula>
    </cfRule>
    <cfRule type="expression" dxfId="3722" priority="2773">
      <formula>$AD125=2</formula>
    </cfRule>
    <cfRule type="expression" dxfId="3721" priority="2774">
      <formula>$AD125=1</formula>
    </cfRule>
  </conditionalFormatting>
  <conditionalFormatting sqref="J125:K125">
    <cfRule type="expression" dxfId="3720" priority="2770">
      <formula>$AC125=2</formula>
    </cfRule>
  </conditionalFormatting>
  <conditionalFormatting sqref="L125">
    <cfRule type="expression" dxfId="3719" priority="2769">
      <formula>$AC125=2</formula>
    </cfRule>
  </conditionalFormatting>
  <conditionalFormatting sqref="O125">
    <cfRule type="expression" dxfId="3718" priority="2768">
      <formula>$AC125=2</formula>
    </cfRule>
  </conditionalFormatting>
  <conditionalFormatting sqref="V125">
    <cfRule type="expression" dxfId="3717" priority="2767">
      <formula>$AC125=2</formula>
    </cfRule>
  </conditionalFormatting>
  <conditionalFormatting sqref="Q129:R129">
    <cfRule type="expression" dxfId="3716" priority="2763">
      <formula>$AE129=4</formula>
    </cfRule>
    <cfRule type="expression" dxfId="3715" priority="2764">
      <formula>$AE129=3</formula>
    </cfRule>
    <cfRule type="expression" dxfId="3714" priority="2765">
      <formula>$AE129=2</formula>
    </cfRule>
    <cfRule type="expression" dxfId="3713" priority="2766">
      <formula>$AE129=1</formula>
    </cfRule>
  </conditionalFormatting>
  <conditionalFormatting sqref="X129:Y129">
    <cfRule type="expression" dxfId="3712" priority="2759">
      <formula>$AF129=4</formula>
    </cfRule>
    <cfRule type="expression" dxfId="3711" priority="2760">
      <formula>$AF129=3</formula>
    </cfRule>
    <cfRule type="expression" dxfId="3710" priority="2761">
      <formula>$AF129=2</formula>
    </cfRule>
    <cfRule type="expression" dxfId="3709" priority="2762">
      <formula>$AF129=1</formula>
    </cfRule>
  </conditionalFormatting>
  <conditionalFormatting sqref="X129:Y129">
    <cfRule type="expression" dxfId="3708" priority="2758">
      <formula>$AC129=2</formula>
    </cfRule>
  </conditionalFormatting>
  <conditionalFormatting sqref="J129:K129">
    <cfRule type="expression" dxfId="3707" priority="2749">
      <formula>$AD129=4</formula>
    </cfRule>
    <cfRule type="expression" dxfId="3706" priority="2750">
      <formula>$AD129=3</formula>
    </cfRule>
    <cfRule type="expression" dxfId="3705" priority="2751">
      <formula>$AD129=2</formula>
    </cfRule>
    <cfRule type="expression" dxfId="3704" priority="2752">
      <formula>$AD129=1</formula>
    </cfRule>
  </conditionalFormatting>
  <conditionalFormatting sqref="J129:K129">
    <cfRule type="expression" dxfId="3703" priority="2748">
      <formula>$AC129=2</formula>
    </cfRule>
  </conditionalFormatting>
  <conditionalFormatting sqref="L129">
    <cfRule type="expression" dxfId="3702" priority="2747">
      <formula>$AC129=2</formula>
    </cfRule>
  </conditionalFormatting>
  <conditionalFormatting sqref="O129">
    <cfRule type="expression" dxfId="3701" priority="2746">
      <formula>$AC129=2</formula>
    </cfRule>
  </conditionalFormatting>
  <conditionalFormatting sqref="V129">
    <cfRule type="expression" dxfId="3700" priority="2745">
      <formula>$AC129=2</formula>
    </cfRule>
  </conditionalFormatting>
  <conditionalFormatting sqref="Q135:R135">
    <cfRule type="expression" dxfId="3699" priority="2741">
      <formula>$AE135=4</formula>
    </cfRule>
    <cfRule type="expression" dxfId="3698" priority="2742">
      <formula>$AE135=3</formula>
    </cfRule>
    <cfRule type="expression" dxfId="3697" priority="2743">
      <formula>$AE135=2</formula>
    </cfRule>
    <cfRule type="expression" dxfId="3696" priority="2744">
      <formula>$AE135=1</formula>
    </cfRule>
  </conditionalFormatting>
  <conditionalFormatting sqref="X135:Y135">
    <cfRule type="expression" dxfId="3695" priority="2737">
      <formula>$AF135=4</formula>
    </cfRule>
    <cfRule type="expression" dxfId="3694" priority="2738">
      <formula>$AF135=3</formula>
    </cfRule>
    <cfRule type="expression" dxfId="3693" priority="2739">
      <formula>$AF135=2</formula>
    </cfRule>
    <cfRule type="expression" dxfId="3692" priority="2740">
      <formula>$AF135=1</formula>
    </cfRule>
  </conditionalFormatting>
  <conditionalFormatting sqref="X135:Y135">
    <cfRule type="expression" dxfId="3691" priority="2736">
      <formula>$AC135=2</formula>
    </cfRule>
  </conditionalFormatting>
  <conditionalFormatting sqref="K135">
    <cfRule type="expression" dxfId="3690" priority="2727">
      <formula>$AD135=4</formula>
    </cfRule>
    <cfRule type="expression" dxfId="3689" priority="2728">
      <formula>$AD135=3</formula>
    </cfRule>
    <cfRule type="expression" dxfId="3688" priority="2729">
      <formula>$AD135=2</formula>
    </cfRule>
    <cfRule type="expression" dxfId="3687" priority="2730">
      <formula>$AD135=1</formula>
    </cfRule>
  </conditionalFormatting>
  <conditionalFormatting sqref="K135">
    <cfRule type="expression" dxfId="3686" priority="2726">
      <formula>$AC135=2</formula>
    </cfRule>
  </conditionalFormatting>
  <conditionalFormatting sqref="L135">
    <cfRule type="expression" dxfId="3685" priority="2725">
      <formula>$AC135=2</formula>
    </cfRule>
  </conditionalFormatting>
  <conditionalFormatting sqref="O135">
    <cfRule type="expression" dxfId="3684" priority="2724">
      <formula>$AC135=2</formula>
    </cfRule>
  </conditionalFormatting>
  <conditionalFormatting sqref="V135">
    <cfRule type="expression" dxfId="3683" priority="2723">
      <formula>$AC135=2</formula>
    </cfRule>
  </conditionalFormatting>
  <conditionalFormatting sqref="Q140:R140">
    <cfRule type="expression" dxfId="3682" priority="2719">
      <formula>$AE140=4</formula>
    </cfRule>
    <cfRule type="expression" dxfId="3681" priority="2720">
      <formula>$AE140=3</formula>
    </cfRule>
    <cfRule type="expression" dxfId="3680" priority="2721">
      <formula>$AE140=2</formula>
    </cfRule>
    <cfRule type="expression" dxfId="3679" priority="2722">
      <formula>$AE140=1</formula>
    </cfRule>
  </conditionalFormatting>
  <conditionalFormatting sqref="X140:Y140">
    <cfRule type="expression" dxfId="3678" priority="2715">
      <formula>$AF140=4</formula>
    </cfRule>
    <cfRule type="expression" dxfId="3677" priority="2716">
      <formula>$AF140=3</formula>
    </cfRule>
    <cfRule type="expression" dxfId="3676" priority="2717">
      <formula>$AF140=2</formula>
    </cfRule>
    <cfRule type="expression" dxfId="3675" priority="2718">
      <formula>$AF140=1</formula>
    </cfRule>
  </conditionalFormatting>
  <conditionalFormatting sqref="X140:Y140">
    <cfRule type="expression" dxfId="3674" priority="2714">
      <formula>$AC140=2</formula>
    </cfRule>
  </conditionalFormatting>
  <conditionalFormatting sqref="J140:K140">
    <cfRule type="expression" dxfId="3673" priority="2705">
      <formula>$AD140=4</formula>
    </cfRule>
    <cfRule type="expression" dxfId="3672" priority="2706">
      <formula>$AD140=3</formula>
    </cfRule>
    <cfRule type="expression" dxfId="3671" priority="2707">
      <formula>$AD140=2</formula>
    </cfRule>
    <cfRule type="expression" dxfId="3670" priority="2708">
      <formula>$AD140=1</formula>
    </cfRule>
  </conditionalFormatting>
  <conditionalFormatting sqref="J140:K140">
    <cfRule type="expression" dxfId="3669" priority="2704">
      <formula>$AC140=2</formula>
    </cfRule>
  </conditionalFormatting>
  <conditionalFormatting sqref="L140">
    <cfRule type="expression" dxfId="3668" priority="2703">
      <formula>$AC140=2</formula>
    </cfRule>
  </conditionalFormatting>
  <conditionalFormatting sqref="O140">
    <cfRule type="expression" dxfId="3667" priority="2702">
      <formula>$AC140=2</formula>
    </cfRule>
  </conditionalFormatting>
  <conditionalFormatting sqref="V140">
    <cfRule type="expression" dxfId="3666" priority="2701">
      <formula>$AC140=2</formula>
    </cfRule>
  </conditionalFormatting>
  <conditionalFormatting sqref="Q153:R153">
    <cfRule type="expression" dxfId="3665" priority="2697">
      <formula>$AE153=4</formula>
    </cfRule>
    <cfRule type="expression" dxfId="3664" priority="2698">
      <formula>$AE153=3</formula>
    </cfRule>
    <cfRule type="expression" dxfId="3663" priority="2699">
      <formula>$AE153=2</formula>
    </cfRule>
    <cfRule type="expression" dxfId="3662" priority="2700">
      <formula>$AE153=1</formula>
    </cfRule>
  </conditionalFormatting>
  <conditionalFormatting sqref="X153:Y153">
    <cfRule type="expression" dxfId="3661" priority="2693">
      <formula>$AF153=4</formula>
    </cfRule>
    <cfRule type="expression" dxfId="3660" priority="2694">
      <formula>$AF153=3</formula>
    </cfRule>
    <cfRule type="expression" dxfId="3659" priority="2695">
      <formula>$AF153=2</formula>
    </cfRule>
    <cfRule type="expression" dxfId="3658" priority="2696">
      <formula>$AF153=1</formula>
    </cfRule>
  </conditionalFormatting>
  <conditionalFormatting sqref="X153:Y153">
    <cfRule type="expression" dxfId="3657" priority="2692">
      <formula>$AC153=2</formula>
    </cfRule>
  </conditionalFormatting>
  <conditionalFormatting sqref="J153:K153">
    <cfRule type="expression" dxfId="3656" priority="2683">
      <formula>$AD153=4</formula>
    </cfRule>
    <cfRule type="expression" dxfId="3655" priority="2684">
      <formula>$AD153=3</formula>
    </cfRule>
    <cfRule type="expression" dxfId="3654" priority="2685">
      <formula>$AD153=2</formula>
    </cfRule>
    <cfRule type="expression" dxfId="3653" priority="2686">
      <formula>$AD153=1</formula>
    </cfRule>
  </conditionalFormatting>
  <conditionalFormatting sqref="J153:K153">
    <cfRule type="expression" dxfId="3652" priority="2682">
      <formula>$AC153=2</formula>
    </cfRule>
  </conditionalFormatting>
  <conditionalFormatting sqref="L153">
    <cfRule type="expression" dxfId="3651" priority="2681">
      <formula>$AC153=2</formula>
    </cfRule>
  </conditionalFormatting>
  <conditionalFormatting sqref="O153">
    <cfRule type="expression" dxfId="3650" priority="2680">
      <formula>$AC153=2</formula>
    </cfRule>
  </conditionalFormatting>
  <conditionalFormatting sqref="V153">
    <cfRule type="expression" dxfId="3649" priority="2679">
      <formula>$AC153=2</formula>
    </cfRule>
  </conditionalFormatting>
  <conditionalFormatting sqref="Q155:R155">
    <cfRule type="expression" dxfId="3648" priority="2675">
      <formula>$AE155=4</formula>
    </cfRule>
    <cfRule type="expression" dxfId="3647" priority="2676">
      <formula>$AE155=3</formula>
    </cfRule>
    <cfRule type="expression" dxfId="3646" priority="2677">
      <formula>$AE155=2</formula>
    </cfRule>
    <cfRule type="expression" dxfId="3645" priority="2678">
      <formula>$AE155=1</formula>
    </cfRule>
  </conditionalFormatting>
  <conditionalFormatting sqref="X155:Y155">
    <cfRule type="expression" dxfId="3644" priority="2671">
      <formula>$AF155=4</formula>
    </cfRule>
    <cfRule type="expression" dxfId="3643" priority="2672">
      <formula>$AF155=3</formula>
    </cfRule>
    <cfRule type="expression" dxfId="3642" priority="2673">
      <formula>$AF155=2</formula>
    </cfRule>
    <cfRule type="expression" dxfId="3641" priority="2674">
      <formula>$AF155=1</formula>
    </cfRule>
  </conditionalFormatting>
  <conditionalFormatting sqref="X155:Y155">
    <cfRule type="expression" dxfId="3640" priority="2670">
      <formula>$AC155=2</formula>
    </cfRule>
  </conditionalFormatting>
  <conditionalFormatting sqref="J155:K155">
    <cfRule type="expression" dxfId="3639" priority="2661">
      <formula>$AD155=4</formula>
    </cfRule>
    <cfRule type="expression" dxfId="3638" priority="2662">
      <formula>$AD155=3</formula>
    </cfRule>
    <cfRule type="expression" dxfId="3637" priority="2663">
      <formula>$AD155=2</formula>
    </cfRule>
    <cfRule type="expression" dxfId="3636" priority="2664">
      <formula>$AD155=1</formula>
    </cfRule>
  </conditionalFormatting>
  <conditionalFormatting sqref="J155:K155">
    <cfRule type="expression" dxfId="3635" priority="2660">
      <formula>$AC155=2</formula>
    </cfRule>
  </conditionalFormatting>
  <conditionalFormatting sqref="L155">
    <cfRule type="expression" dxfId="3634" priority="2659">
      <formula>$AC155=2</formula>
    </cfRule>
  </conditionalFormatting>
  <conditionalFormatting sqref="O155">
    <cfRule type="expression" dxfId="3633" priority="2658">
      <formula>$AC155=2</formula>
    </cfRule>
  </conditionalFormatting>
  <conditionalFormatting sqref="V155">
    <cfRule type="expression" dxfId="3632" priority="2657">
      <formula>$AC155=2</formula>
    </cfRule>
  </conditionalFormatting>
  <conditionalFormatting sqref="Q157:R157">
    <cfRule type="expression" dxfId="3631" priority="2653">
      <formula>$AE157=4</formula>
    </cfRule>
    <cfRule type="expression" dxfId="3630" priority="2654">
      <formula>$AE157=3</formula>
    </cfRule>
    <cfRule type="expression" dxfId="3629" priority="2655">
      <formula>$AE157=2</formula>
    </cfRule>
    <cfRule type="expression" dxfId="3628" priority="2656">
      <formula>$AE157=1</formula>
    </cfRule>
  </conditionalFormatting>
  <conditionalFormatting sqref="X157:Y157">
    <cfRule type="expression" dxfId="3627" priority="2649">
      <formula>$AF157=4</formula>
    </cfRule>
    <cfRule type="expression" dxfId="3626" priority="2650">
      <formula>$AF157=3</formula>
    </cfRule>
    <cfRule type="expression" dxfId="3625" priority="2651">
      <formula>$AF157=2</formula>
    </cfRule>
    <cfRule type="expression" dxfId="3624" priority="2652">
      <formula>$AF157=1</formula>
    </cfRule>
  </conditionalFormatting>
  <conditionalFormatting sqref="X157:Y157">
    <cfRule type="expression" dxfId="3623" priority="2648">
      <formula>$AC157=2</formula>
    </cfRule>
  </conditionalFormatting>
  <conditionalFormatting sqref="J157:K157">
    <cfRule type="expression" dxfId="3622" priority="2639">
      <formula>$AD157=4</formula>
    </cfRule>
    <cfRule type="expression" dxfId="3621" priority="2640">
      <formula>$AD157=3</formula>
    </cfRule>
    <cfRule type="expression" dxfId="3620" priority="2641">
      <formula>$AD157=2</formula>
    </cfRule>
    <cfRule type="expression" dxfId="3619" priority="2642">
      <formula>$AD157=1</formula>
    </cfRule>
  </conditionalFormatting>
  <conditionalFormatting sqref="J157:K157">
    <cfRule type="expression" dxfId="3618" priority="2638">
      <formula>$AC157=2</formula>
    </cfRule>
  </conditionalFormatting>
  <conditionalFormatting sqref="L157">
    <cfRule type="expression" dxfId="3617" priority="2637">
      <formula>$AC157=2</formula>
    </cfRule>
  </conditionalFormatting>
  <conditionalFormatting sqref="O157">
    <cfRule type="expression" dxfId="3616" priority="2636">
      <formula>$AC157=2</formula>
    </cfRule>
  </conditionalFormatting>
  <conditionalFormatting sqref="V157">
    <cfRule type="expression" dxfId="3615" priority="2635">
      <formula>$AC157=2</formula>
    </cfRule>
  </conditionalFormatting>
  <conditionalFormatting sqref="Q165:R165">
    <cfRule type="expression" dxfId="3614" priority="2631">
      <formula>$AE165=4</formula>
    </cfRule>
    <cfRule type="expression" dxfId="3613" priority="2632">
      <formula>$AE165=3</formula>
    </cfRule>
    <cfRule type="expression" dxfId="3612" priority="2633">
      <formula>$AE165=2</formula>
    </cfRule>
    <cfRule type="expression" dxfId="3611" priority="2634">
      <formula>$AE165=1</formula>
    </cfRule>
  </conditionalFormatting>
  <conditionalFormatting sqref="X165:Y165">
    <cfRule type="expression" dxfId="3610" priority="2627">
      <formula>$AF165=4</formula>
    </cfRule>
    <cfRule type="expression" dxfId="3609" priority="2628">
      <formula>$AF165=3</formula>
    </cfRule>
    <cfRule type="expression" dxfId="3608" priority="2629">
      <formula>$AF165=2</formula>
    </cfRule>
    <cfRule type="expression" dxfId="3607" priority="2630">
      <formula>$AF165=1</formula>
    </cfRule>
  </conditionalFormatting>
  <conditionalFormatting sqref="X165:Y165">
    <cfRule type="expression" dxfId="3606" priority="2626">
      <formula>$AC165=2</formula>
    </cfRule>
  </conditionalFormatting>
  <conditionalFormatting sqref="J165:K165">
    <cfRule type="expression" dxfId="3605" priority="2617">
      <formula>$AD165=4</formula>
    </cfRule>
    <cfRule type="expression" dxfId="3604" priority="2618">
      <formula>$AD165=3</formula>
    </cfRule>
    <cfRule type="expression" dxfId="3603" priority="2619">
      <formula>$AD165=2</formula>
    </cfRule>
    <cfRule type="expression" dxfId="3602" priority="2620">
      <formula>$AD165=1</formula>
    </cfRule>
  </conditionalFormatting>
  <conditionalFormatting sqref="J165:K165">
    <cfRule type="expression" dxfId="3601" priority="2616">
      <formula>$AC165=2</formula>
    </cfRule>
  </conditionalFormatting>
  <conditionalFormatting sqref="L165">
    <cfRule type="expression" dxfId="3600" priority="2615">
      <formula>$AC165=2</formula>
    </cfRule>
  </conditionalFormatting>
  <conditionalFormatting sqref="O165">
    <cfRule type="expression" dxfId="3599" priority="2614">
      <formula>$AC165=2</formula>
    </cfRule>
  </conditionalFormatting>
  <conditionalFormatting sqref="V165">
    <cfRule type="expression" dxfId="3598" priority="2613">
      <formula>$AC165=2</formula>
    </cfRule>
  </conditionalFormatting>
  <conditionalFormatting sqref="Q169:R169">
    <cfRule type="expression" dxfId="3597" priority="2609">
      <formula>$AE169=4</formula>
    </cfRule>
    <cfRule type="expression" dxfId="3596" priority="2610">
      <formula>$AE169=3</formula>
    </cfRule>
    <cfRule type="expression" dxfId="3595" priority="2611">
      <formula>$AE169=2</formula>
    </cfRule>
    <cfRule type="expression" dxfId="3594" priority="2612">
      <formula>$AE169=1</formula>
    </cfRule>
  </conditionalFormatting>
  <conditionalFormatting sqref="X169:Y169">
    <cfRule type="expression" dxfId="3593" priority="2605">
      <formula>$AF169=4</formula>
    </cfRule>
    <cfRule type="expression" dxfId="3592" priority="2606">
      <formula>$AF169=3</formula>
    </cfRule>
    <cfRule type="expression" dxfId="3591" priority="2607">
      <formula>$AF169=2</formula>
    </cfRule>
    <cfRule type="expression" dxfId="3590" priority="2608">
      <formula>$AF169=1</formula>
    </cfRule>
  </conditionalFormatting>
  <conditionalFormatting sqref="X169:Y169">
    <cfRule type="expression" dxfId="3589" priority="2604">
      <formula>$AC169=2</formula>
    </cfRule>
  </conditionalFormatting>
  <conditionalFormatting sqref="J169:K169">
    <cfRule type="expression" dxfId="3588" priority="2595">
      <formula>$AD169=4</formula>
    </cfRule>
    <cfRule type="expression" dxfId="3587" priority="2596">
      <formula>$AD169=3</formula>
    </cfRule>
    <cfRule type="expression" dxfId="3586" priority="2597">
      <formula>$AD169=2</formula>
    </cfRule>
    <cfRule type="expression" dxfId="3585" priority="2598">
      <formula>$AD169=1</formula>
    </cfRule>
  </conditionalFormatting>
  <conditionalFormatting sqref="J169:K169">
    <cfRule type="expression" dxfId="3584" priority="2594">
      <formula>$AC169=2</formula>
    </cfRule>
  </conditionalFormatting>
  <conditionalFormatting sqref="L169">
    <cfRule type="expression" dxfId="3583" priority="2593">
      <formula>$AC169=2</formula>
    </cfRule>
  </conditionalFormatting>
  <conditionalFormatting sqref="O169">
    <cfRule type="expression" dxfId="3582" priority="2592">
      <formula>$AC169=2</formula>
    </cfRule>
  </conditionalFormatting>
  <conditionalFormatting sqref="V169">
    <cfRule type="expression" dxfId="3581" priority="2591">
      <formula>$AC169=2</formula>
    </cfRule>
  </conditionalFormatting>
  <conditionalFormatting sqref="Q172:R172">
    <cfRule type="expression" dxfId="3580" priority="2587">
      <formula>$AE172=4</formula>
    </cfRule>
    <cfRule type="expression" dxfId="3579" priority="2588">
      <formula>$AE172=3</formula>
    </cfRule>
    <cfRule type="expression" dxfId="3578" priority="2589">
      <formula>$AE172=2</formula>
    </cfRule>
    <cfRule type="expression" dxfId="3577" priority="2590">
      <formula>$AE172=1</formula>
    </cfRule>
  </conditionalFormatting>
  <conditionalFormatting sqref="X172:Y172">
    <cfRule type="expression" dxfId="3576" priority="2583">
      <formula>$AF172=4</formula>
    </cfRule>
    <cfRule type="expression" dxfId="3575" priority="2584">
      <formula>$AF172=3</formula>
    </cfRule>
    <cfRule type="expression" dxfId="3574" priority="2585">
      <formula>$AF172=2</formula>
    </cfRule>
    <cfRule type="expression" dxfId="3573" priority="2586">
      <formula>$AF172=1</formula>
    </cfRule>
  </conditionalFormatting>
  <conditionalFormatting sqref="X172:Y172">
    <cfRule type="expression" dxfId="3572" priority="2582">
      <formula>$AC172=2</formula>
    </cfRule>
  </conditionalFormatting>
  <conditionalFormatting sqref="J172:K172">
    <cfRule type="expression" dxfId="3571" priority="2573">
      <formula>$AD172=4</formula>
    </cfRule>
    <cfRule type="expression" dxfId="3570" priority="2574">
      <formula>$AD172=3</formula>
    </cfRule>
    <cfRule type="expression" dxfId="3569" priority="2575">
      <formula>$AD172=2</formula>
    </cfRule>
    <cfRule type="expression" dxfId="3568" priority="2576">
      <formula>$AD172=1</formula>
    </cfRule>
  </conditionalFormatting>
  <conditionalFormatting sqref="J172:K172">
    <cfRule type="expression" dxfId="3567" priority="2572">
      <formula>$AC172=2</formula>
    </cfRule>
  </conditionalFormatting>
  <conditionalFormatting sqref="L172">
    <cfRule type="expression" dxfId="3566" priority="2571">
      <formula>$AC172=2</formula>
    </cfRule>
  </conditionalFormatting>
  <conditionalFormatting sqref="O172">
    <cfRule type="expression" dxfId="3565" priority="2570">
      <formula>$AC172=2</formula>
    </cfRule>
  </conditionalFormatting>
  <conditionalFormatting sqref="V172">
    <cfRule type="expression" dxfId="3564" priority="2569">
      <formula>$AC172=2</formula>
    </cfRule>
  </conditionalFormatting>
  <conditionalFormatting sqref="Q176:R176">
    <cfRule type="expression" dxfId="3563" priority="2565">
      <formula>$AE176=4</formula>
    </cfRule>
    <cfRule type="expression" dxfId="3562" priority="2566">
      <formula>$AE176=3</formula>
    </cfRule>
    <cfRule type="expression" dxfId="3561" priority="2567">
      <formula>$AE176=2</formula>
    </cfRule>
    <cfRule type="expression" dxfId="3560" priority="2568">
      <formula>$AE176=1</formula>
    </cfRule>
  </conditionalFormatting>
  <conditionalFormatting sqref="X176:Y176">
    <cfRule type="expression" dxfId="3559" priority="2561">
      <formula>$AF176=4</formula>
    </cfRule>
    <cfRule type="expression" dxfId="3558" priority="2562">
      <formula>$AF176=3</formula>
    </cfRule>
    <cfRule type="expression" dxfId="3557" priority="2563">
      <formula>$AF176=2</formula>
    </cfRule>
    <cfRule type="expression" dxfId="3556" priority="2564">
      <formula>$AF176=1</formula>
    </cfRule>
  </conditionalFormatting>
  <conditionalFormatting sqref="X176:Y176">
    <cfRule type="expression" dxfId="3555" priority="2560">
      <formula>$AC176=2</formula>
    </cfRule>
  </conditionalFormatting>
  <conditionalFormatting sqref="J176:K176">
    <cfRule type="expression" dxfId="3554" priority="2551">
      <formula>$AD176=4</formula>
    </cfRule>
    <cfRule type="expression" dxfId="3553" priority="2552">
      <formula>$AD176=3</formula>
    </cfRule>
    <cfRule type="expression" dxfId="3552" priority="2553">
      <formula>$AD176=2</formula>
    </cfRule>
    <cfRule type="expression" dxfId="3551" priority="2554">
      <formula>$AD176=1</formula>
    </cfRule>
  </conditionalFormatting>
  <conditionalFormatting sqref="J176:K176">
    <cfRule type="expression" dxfId="3550" priority="2550">
      <formula>$AC176=2</formula>
    </cfRule>
  </conditionalFormatting>
  <conditionalFormatting sqref="L176">
    <cfRule type="expression" dxfId="3549" priority="2549">
      <formula>$AC176=2</formula>
    </cfRule>
  </conditionalFormatting>
  <conditionalFormatting sqref="O176">
    <cfRule type="expression" dxfId="3548" priority="2548">
      <formula>$AC176=2</formula>
    </cfRule>
  </conditionalFormatting>
  <conditionalFormatting sqref="V176">
    <cfRule type="expression" dxfId="3547" priority="2547">
      <formula>$AC176=2</formula>
    </cfRule>
  </conditionalFormatting>
  <conditionalFormatting sqref="Q180:R180">
    <cfRule type="expression" dxfId="3546" priority="2543">
      <formula>$AE180=4</formula>
    </cfRule>
    <cfRule type="expression" dxfId="3545" priority="2544">
      <formula>$AE180=3</formula>
    </cfRule>
    <cfRule type="expression" dxfId="3544" priority="2545">
      <formula>$AE180=2</formula>
    </cfRule>
    <cfRule type="expression" dxfId="3543" priority="2546">
      <formula>$AE180=1</formula>
    </cfRule>
  </conditionalFormatting>
  <conditionalFormatting sqref="X180:Y180">
    <cfRule type="expression" dxfId="3542" priority="2539">
      <formula>$AF180=4</formula>
    </cfRule>
    <cfRule type="expression" dxfId="3541" priority="2540">
      <formula>$AF180=3</formula>
    </cfRule>
    <cfRule type="expression" dxfId="3540" priority="2541">
      <formula>$AF180=2</formula>
    </cfRule>
    <cfRule type="expression" dxfId="3539" priority="2542">
      <formula>$AF180=1</formula>
    </cfRule>
  </conditionalFormatting>
  <conditionalFormatting sqref="X180:Y180">
    <cfRule type="expression" dxfId="3538" priority="2538">
      <formula>$AC180=2</formula>
    </cfRule>
  </conditionalFormatting>
  <conditionalFormatting sqref="J180:K180">
    <cfRule type="expression" dxfId="3537" priority="2529">
      <formula>$AD180=4</formula>
    </cfRule>
    <cfRule type="expression" dxfId="3536" priority="2530">
      <formula>$AD180=3</formula>
    </cfRule>
    <cfRule type="expression" dxfId="3535" priority="2531">
      <formula>$AD180=2</formula>
    </cfRule>
    <cfRule type="expression" dxfId="3534" priority="2532">
      <formula>$AD180=1</formula>
    </cfRule>
  </conditionalFormatting>
  <conditionalFormatting sqref="J180:K180">
    <cfRule type="expression" dxfId="3533" priority="2528">
      <formula>$AC180=2</formula>
    </cfRule>
  </conditionalFormatting>
  <conditionalFormatting sqref="L180">
    <cfRule type="expression" dxfId="3532" priority="2527">
      <formula>$AC180=2</formula>
    </cfRule>
  </conditionalFormatting>
  <conditionalFormatting sqref="O180">
    <cfRule type="expression" dxfId="3531" priority="2526">
      <formula>$AC180=2</formula>
    </cfRule>
  </conditionalFormatting>
  <conditionalFormatting sqref="V180">
    <cfRule type="expression" dxfId="3530" priority="2525">
      <formula>$AC180=2</formula>
    </cfRule>
  </conditionalFormatting>
  <conditionalFormatting sqref="Q182:R182">
    <cfRule type="expression" dxfId="3529" priority="2521">
      <formula>$AE182=4</formula>
    </cfRule>
    <cfRule type="expression" dxfId="3528" priority="2522">
      <formula>$AE182=3</formula>
    </cfRule>
    <cfRule type="expression" dxfId="3527" priority="2523">
      <formula>$AE182=2</formula>
    </cfRule>
    <cfRule type="expression" dxfId="3526" priority="2524">
      <formula>$AE182=1</formula>
    </cfRule>
  </conditionalFormatting>
  <conditionalFormatting sqref="X182:Y182">
    <cfRule type="expression" dxfId="3525" priority="2517">
      <formula>$AF182=4</formula>
    </cfRule>
    <cfRule type="expression" dxfId="3524" priority="2518">
      <formula>$AF182=3</formula>
    </cfRule>
    <cfRule type="expression" dxfId="3523" priority="2519">
      <formula>$AF182=2</formula>
    </cfRule>
    <cfRule type="expression" dxfId="3522" priority="2520">
      <formula>$AF182=1</formula>
    </cfRule>
  </conditionalFormatting>
  <conditionalFormatting sqref="X182:Y182">
    <cfRule type="expression" dxfId="3521" priority="2516">
      <formula>$AC182=2</formula>
    </cfRule>
  </conditionalFormatting>
  <conditionalFormatting sqref="J182:K182">
    <cfRule type="expression" dxfId="3520" priority="2507">
      <formula>$AD182=4</formula>
    </cfRule>
    <cfRule type="expression" dxfId="3519" priority="2508">
      <formula>$AD182=3</formula>
    </cfRule>
    <cfRule type="expression" dxfId="3518" priority="2509">
      <formula>$AD182=2</formula>
    </cfRule>
    <cfRule type="expression" dxfId="3517" priority="2510">
      <formula>$AD182=1</formula>
    </cfRule>
  </conditionalFormatting>
  <conditionalFormatting sqref="J182:K182">
    <cfRule type="expression" dxfId="3516" priority="2506">
      <formula>$AC182=2</formula>
    </cfRule>
  </conditionalFormatting>
  <conditionalFormatting sqref="L182">
    <cfRule type="expression" dxfId="3515" priority="2505">
      <formula>$AC182=2</formula>
    </cfRule>
  </conditionalFormatting>
  <conditionalFormatting sqref="O182">
    <cfRule type="expression" dxfId="3514" priority="2504">
      <formula>$AC182=2</formula>
    </cfRule>
  </conditionalFormatting>
  <conditionalFormatting sqref="V182">
    <cfRule type="expression" dxfId="3513" priority="2503">
      <formula>$AC182=2</formula>
    </cfRule>
  </conditionalFormatting>
  <conditionalFormatting sqref="Q185:R185">
    <cfRule type="expression" dxfId="3512" priority="2499">
      <formula>$AE185=4</formula>
    </cfRule>
    <cfRule type="expression" dxfId="3511" priority="2500">
      <formula>$AE185=3</formula>
    </cfRule>
    <cfRule type="expression" dxfId="3510" priority="2501">
      <formula>$AE185=2</formula>
    </cfRule>
    <cfRule type="expression" dxfId="3509" priority="2502">
      <formula>$AE185=1</formula>
    </cfRule>
  </conditionalFormatting>
  <conditionalFormatting sqref="X185:Y185">
    <cfRule type="expression" dxfId="3508" priority="2495">
      <formula>$AF185=4</formula>
    </cfRule>
    <cfRule type="expression" dxfId="3507" priority="2496">
      <formula>$AF185=3</formula>
    </cfRule>
    <cfRule type="expression" dxfId="3506" priority="2497">
      <formula>$AF185=2</formula>
    </cfRule>
    <cfRule type="expression" dxfId="3505" priority="2498">
      <formula>$AF185=1</formula>
    </cfRule>
  </conditionalFormatting>
  <conditionalFormatting sqref="X185:Y185">
    <cfRule type="expression" dxfId="3504" priority="2494">
      <formula>$AC185=2</formula>
    </cfRule>
  </conditionalFormatting>
  <conditionalFormatting sqref="J185:K185">
    <cfRule type="expression" dxfId="3503" priority="2485">
      <formula>$AD185=4</formula>
    </cfRule>
    <cfRule type="expression" dxfId="3502" priority="2486">
      <formula>$AD185=3</formula>
    </cfRule>
    <cfRule type="expression" dxfId="3501" priority="2487">
      <formula>$AD185=2</formula>
    </cfRule>
    <cfRule type="expression" dxfId="3500" priority="2488">
      <formula>$AD185=1</formula>
    </cfRule>
  </conditionalFormatting>
  <conditionalFormatting sqref="J185:K185">
    <cfRule type="expression" dxfId="3499" priority="2484">
      <formula>$AC185=2</formula>
    </cfRule>
  </conditionalFormatting>
  <conditionalFormatting sqref="L185">
    <cfRule type="expression" dxfId="3498" priority="2483">
      <formula>$AC185=2</formula>
    </cfRule>
  </conditionalFormatting>
  <conditionalFormatting sqref="O185">
    <cfRule type="expression" dxfId="3497" priority="2482">
      <formula>$AC185=2</formula>
    </cfRule>
  </conditionalFormatting>
  <conditionalFormatting sqref="V185">
    <cfRule type="expression" dxfId="3496" priority="2481">
      <formula>$AC185=2</formula>
    </cfRule>
  </conditionalFormatting>
  <conditionalFormatting sqref="Q198:R198">
    <cfRule type="expression" dxfId="3495" priority="2477">
      <formula>$AE198=4</formula>
    </cfRule>
    <cfRule type="expression" dxfId="3494" priority="2478">
      <formula>$AE198=3</formula>
    </cfRule>
    <cfRule type="expression" dxfId="3493" priority="2479">
      <formula>$AE198=2</formula>
    </cfRule>
    <cfRule type="expression" dxfId="3492" priority="2480">
      <formula>$AE198=1</formula>
    </cfRule>
  </conditionalFormatting>
  <conditionalFormatting sqref="X198:Y198">
    <cfRule type="expression" dxfId="3491" priority="2473">
      <formula>$AF198=4</formula>
    </cfRule>
    <cfRule type="expression" dxfId="3490" priority="2474">
      <formula>$AF198=3</formula>
    </cfRule>
    <cfRule type="expression" dxfId="3489" priority="2475">
      <formula>$AF198=2</formula>
    </cfRule>
    <cfRule type="expression" dxfId="3488" priority="2476">
      <formula>$AF198=1</formula>
    </cfRule>
  </conditionalFormatting>
  <conditionalFormatting sqref="X198:Y198">
    <cfRule type="expression" dxfId="3487" priority="2472">
      <formula>$AC198=2</formula>
    </cfRule>
  </conditionalFormatting>
  <conditionalFormatting sqref="J198:K198">
    <cfRule type="expression" dxfId="3486" priority="2463">
      <formula>$AD198=4</formula>
    </cfRule>
    <cfRule type="expression" dxfId="3485" priority="2464">
      <formula>$AD198=3</formula>
    </cfRule>
    <cfRule type="expression" dxfId="3484" priority="2465">
      <formula>$AD198=2</formula>
    </cfRule>
    <cfRule type="expression" dxfId="3483" priority="2466">
      <formula>$AD198=1</formula>
    </cfRule>
  </conditionalFormatting>
  <conditionalFormatting sqref="J198:K198">
    <cfRule type="expression" dxfId="3482" priority="2462">
      <formula>$AC198=2</formula>
    </cfRule>
  </conditionalFormatting>
  <conditionalFormatting sqref="L198">
    <cfRule type="expression" dxfId="3481" priority="2461">
      <formula>$AC198=2</formula>
    </cfRule>
  </conditionalFormatting>
  <conditionalFormatting sqref="O198">
    <cfRule type="expression" dxfId="3480" priority="2460">
      <formula>$AC198=2</formula>
    </cfRule>
  </conditionalFormatting>
  <conditionalFormatting sqref="V198">
    <cfRule type="expression" dxfId="3479" priority="2459">
      <formula>$AC198=2</formula>
    </cfRule>
  </conditionalFormatting>
  <conditionalFormatting sqref="Q201:R201">
    <cfRule type="expression" dxfId="3478" priority="2455">
      <formula>$AE201=4</formula>
    </cfRule>
    <cfRule type="expression" dxfId="3477" priority="2456">
      <formula>$AE201=3</formula>
    </cfRule>
    <cfRule type="expression" dxfId="3476" priority="2457">
      <formula>$AE201=2</formula>
    </cfRule>
    <cfRule type="expression" dxfId="3475" priority="2458">
      <formula>$AE201=1</formula>
    </cfRule>
  </conditionalFormatting>
  <conditionalFormatting sqref="X201:Y201">
    <cfRule type="expression" dxfId="3474" priority="2451">
      <formula>$AF201=4</formula>
    </cfRule>
    <cfRule type="expression" dxfId="3473" priority="2452">
      <formula>$AF201=3</formula>
    </cfRule>
    <cfRule type="expression" dxfId="3472" priority="2453">
      <formula>$AF201=2</formula>
    </cfRule>
    <cfRule type="expression" dxfId="3471" priority="2454">
      <formula>$AF201=1</formula>
    </cfRule>
  </conditionalFormatting>
  <conditionalFormatting sqref="X201:Y201">
    <cfRule type="expression" dxfId="3470" priority="2450">
      <formula>$AC201=2</formula>
    </cfRule>
  </conditionalFormatting>
  <conditionalFormatting sqref="J201:K201">
    <cfRule type="expression" dxfId="3469" priority="2441">
      <formula>$AD201=4</formula>
    </cfRule>
    <cfRule type="expression" dxfId="3468" priority="2442">
      <formula>$AD201=3</formula>
    </cfRule>
    <cfRule type="expression" dxfId="3467" priority="2443">
      <formula>$AD201=2</formula>
    </cfRule>
    <cfRule type="expression" dxfId="3466" priority="2444">
      <formula>$AD201=1</formula>
    </cfRule>
  </conditionalFormatting>
  <conditionalFormatting sqref="J201:K201">
    <cfRule type="expression" dxfId="3465" priority="2440">
      <formula>$AC201=2</formula>
    </cfRule>
  </conditionalFormatting>
  <conditionalFormatting sqref="L201">
    <cfRule type="expression" dxfId="3464" priority="2439">
      <formula>$AC201=2</formula>
    </cfRule>
  </conditionalFormatting>
  <conditionalFormatting sqref="O201">
    <cfRule type="expression" dxfId="3463" priority="2438">
      <formula>$AC201=2</formula>
    </cfRule>
  </conditionalFormatting>
  <conditionalFormatting sqref="V201">
    <cfRule type="expression" dxfId="3462" priority="2437">
      <formula>$AC201=2</formula>
    </cfRule>
  </conditionalFormatting>
  <conditionalFormatting sqref="Q204:R204">
    <cfRule type="expression" dxfId="3461" priority="2433">
      <formula>$AE204=4</formula>
    </cfRule>
    <cfRule type="expression" dxfId="3460" priority="2434">
      <formula>$AE204=3</formula>
    </cfRule>
    <cfRule type="expression" dxfId="3459" priority="2435">
      <formula>$AE204=2</formula>
    </cfRule>
    <cfRule type="expression" dxfId="3458" priority="2436">
      <formula>$AE204=1</formula>
    </cfRule>
  </conditionalFormatting>
  <conditionalFormatting sqref="X204:Y204">
    <cfRule type="expression" dxfId="3457" priority="2429">
      <formula>$AF204=4</formula>
    </cfRule>
    <cfRule type="expression" dxfId="3456" priority="2430">
      <formula>$AF204=3</formula>
    </cfRule>
    <cfRule type="expression" dxfId="3455" priority="2431">
      <formula>$AF204=2</formula>
    </cfRule>
    <cfRule type="expression" dxfId="3454" priority="2432">
      <formula>$AF204=1</formula>
    </cfRule>
  </conditionalFormatting>
  <conditionalFormatting sqref="X204:Y204">
    <cfRule type="expression" dxfId="3453" priority="2428">
      <formula>$AC204=2</formula>
    </cfRule>
  </conditionalFormatting>
  <conditionalFormatting sqref="J204:K204">
    <cfRule type="expression" dxfId="3452" priority="2419">
      <formula>$AD204=4</formula>
    </cfRule>
    <cfRule type="expression" dxfId="3451" priority="2420">
      <formula>$AD204=3</formula>
    </cfRule>
    <cfRule type="expression" dxfId="3450" priority="2421">
      <formula>$AD204=2</formula>
    </cfRule>
    <cfRule type="expression" dxfId="3449" priority="2422">
      <formula>$AD204=1</formula>
    </cfRule>
  </conditionalFormatting>
  <conditionalFormatting sqref="J204:K204">
    <cfRule type="expression" dxfId="3448" priority="2418">
      <formula>$AC204=2</formula>
    </cfRule>
  </conditionalFormatting>
  <conditionalFormatting sqref="L204">
    <cfRule type="expression" dxfId="3447" priority="2417">
      <formula>$AC204=2</formula>
    </cfRule>
  </conditionalFormatting>
  <conditionalFormatting sqref="O204">
    <cfRule type="expression" dxfId="3446" priority="2416">
      <formula>$AC204=2</formula>
    </cfRule>
  </conditionalFormatting>
  <conditionalFormatting sqref="V204">
    <cfRule type="expression" dxfId="3445" priority="2415">
      <formula>$AC204=2</formula>
    </cfRule>
  </conditionalFormatting>
  <conditionalFormatting sqref="Q40:R44">
    <cfRule type="expression" dxfId="3444" priority="2411">
      <formula>$AE40=4</formula>
    </cfRule>
    <cfRule type="expression" dxfId="3443" priority="2412">
      <formula>$AE40=3</formula>
    </cfRule>
    <cfRule type="expression" dxfId="3442" priority="2413">
      <formula>$AE40=2</formula>
    </cfRule>
    <cfRule type="expression" dxfId="3441" priority="2414">
      <formula>$AE40=1</formula>
    </cfRule>
  </conditionalFormatting>
  <conditionalFormatting sqref="X40:Y44">
    <cfRule type="expression" dxfId="3440" priority="2407">
      <formula>$AF40=4</formula>
    </cfRule>
    <cfRule type="expression" dxfId="3439" priority="2408">
      <formula>$AF40=3</formula>
    </cfRule>
    <cfRule type="expression" dxfId="3438" priority="2409">
      <formula>$AF40=2</formula>
    </cfRule>
    <cfRule type="expression" dxfId="3437" priority="2410">
      <formula>$AF40=1</formula>
    </cfRule>
  </conditionalFormatting>
  <conditionalFormatting sqref="N40:N44">
    <cfRule type="expression" dxfId="3436" priority="2406">
      <formula>$AC40=2</formula>
    </cfRule>
  </conditionalFormatting>
  <conditionalFormatting sqref="N40:N44">
    <cfRule type="expression" dxfId="3435" priority="2405">
      <formula>N40&gt;F40</formula>
    </cfRule>
  </conditionalFormatting>
  <conditionalFormatting sqref="G40:G44">
    <cfRule type="expression" dxfId="3434" priority="2392">
      <formula>G40&gt;F40</formula>
    </cfRule>
  </conditionalFormatting>
  <conditionalFormatting sqref="J40:K44">
    <cfRule type="expression" dxfId="3433" priority="2396">
      <formula>$AD40=4</formula>
    </cfRule>
    <cfRule type="expression" dxfId="3432" priority="2397">
      <formula>$AD40=3</formula>
    </cfRule>
    <cfRule type="expression" dxfId="3431" priority="2398">
      <formula>$AD40=2</formula>
    </cfRule>
    <cfRule type="expression" dxfId="3430" priority="2399">
      <formula>$AD40=1</formula>
    </cfRule>
  </conditionalFormatting>
  <conditionalFormatting sqref="J40:K44">
    <cfRule type="expression" dxfId="3429" priority="2395">
      <formula>$AC40=2</formula>
    </cfRule>
  </conditionalFormatting>
  <conditionalFormatting sqref="L40:L44">
    <cfRule type="expression" dxfId="3428" priority="2394">
      <formula>$AC40=2</formula>
    </cfRule>
  </conditionalFormatting>
  <conditionalFormatting sqref="G40:G44">
    <cfRule type="expression" dxfId="3427" priority="2393">
      <formula>$AC40=2</formula>
    </cfRule>
  </conditionalFormatting>
  <conditionalFormatting sqref="O40:O44">
    <cfRule type="expression" dxfId="3426" priority="2391">
      <formula>$AC40=2</formula>
    </cfRule>
  </conditionalFormatting>
  <conditionalFormatting sqref="V40:V44">
    <cfRule type="expression" dxfId="3425" priority="2390">
      <formula>$AC40=2</formula>
    </cfRule>
  </conditionalFormatting>
  <conditionalFormatting sqref="U40:U44">
    <cfRule type="expression" dxfId="3424" priority="2389">
      <formula>$AC40=2</formula>
    </cfRule>
  </conditionalFormatting>
  <conditionalFormatting sqref="U40:U44">
    <cfRule type="expression" dxfId="3423" priority="2388">
      <formula>U40&gt;F40</formula>
    </cfRule>
  </conditionalFormatting>
  <conditionalFormatting sqref="Q46:R49">
    <cfRule type="expression" dxfId="3422" priority="2382">
      <formula>$AE46=4</formula>
    </cfRule>
    <cfRule type="expression" dxfId="3421" priority="2383">
      <formula>$AE46=3</formula>
    </cfRule>
    <cfRule type="expression" dxfId="3420" priority="2384">
      <formula>$AE46=2</formula>
    </cfRule>
    <cfRule type="expression" dxfId="3419" priority="2385">
      <formula>$AE46=1</formula>
    </cfRule>
  </conditionalFormatting>
  <conditionalFormatting sqref="X46:Y49">
    <cfRule type="expression" dxfId="3418" priority="2378">
      <formula>$AF46=4</formula>
    </cfRule>
    <cfRule type="expression" dxfId="3417" priority="2379">
      <formula>$AF46=3</formula>
    </cfRule>
    <cfRule type="expression" dxfId="3416" priority="2380">
      <formula>$AF46=2</formula>
    </cfRule>
    <cfRule type="expression" dxfId="3415" priority="2381">
      <formula>$AF46=1</formula>
    </cfRule>
  </conditionalFormatting>
  <conditionalFormatting sqref="N46:N49">
    <cfRule type="expression" dxfId="3414" priority="2377">
      <formula>$AC46=2</formula>
    </cfRule>
  </conditionalFormatting>
  <conditionalFormatting sqref="N46:N49">
    <cfRule type="expression" dxfId="3413" priority="2376">
      <formula>N46&gt;F46</formula>
    </cfRule>
  </conditionalFormatting>
  <conditionalFormatting sqref="G47:G49">
    <cfRule type="expression" dxfId="3412" priority="2363">
      <formula>G47&gt;F47</formula>
    </cfRule>
  </conditionalFormatting>
  <conditionalFormatting sqref="J46:K49">
    <cfRule type="expression" dxfId="3411" priority="2367">
      <formula>$AD46=4</formula>
    </cfRule>
    <cfRule type="expression" dxfId="3410" priority="2368">
      <formula>$AD46=3</formula>
    </cfRule>
    <cfRule type="expression" dxfId="3409" priority="2369">
      <formula>$AD46=2</formula>
    </cfRule>
    <cfRule type="expression" dxfId="3408" priority="2370">
      <formula>$AD46=1</formula>
    </cfRule>
  </conditionalFormatting>
  <conditionalFormatting sqref="J46:K49">
    <cfRule type="expression" dxfId="3407" priority="2366">
      <formula>$AC46=2</formula>
    </cfRule>
  </conditionalFormatting>
  <conditionalFormatting sqref="L46:L49">
    <cfRule type="expression" dxfId="3406" priority="2365">
      <formula>$AC46=2</formula>
    </cfRule>
  </conditionalFormatting>
  <conditionalFormatting sqref="G47:G49">
    <cfRule type="expression" dxfId="3405" priority="2364">
      <formula>$AC47=2</formula>
    </cfRule>
  </conditionalFormatting>
  <conditionalFormatting sqref="O46:O49">
    <cfRule type="expression" dxfId="3404" priority="2362">
      <formula>$AC46=2</formula>
    </cfRule>
  </conditionalFormatting>
  <conditionalFormatting sqref="V46:V49">
    <cfRule type="expression" dxfId="3403" priority="2361">
      <formula>$AC46=2</formula>
    </cfRule>
  </conditionalFormatting>
  <conditionalFormatting sqref="U46:U49">
    <cfRule type="expression" dxfId="3402" priority="2360">
      <formula>$AC46=2</formula>
    </cfRule>
  </conditionalFormatting>
  <conditionalFormatting sqref="U46:U49">
    <cfRule type="expression" dxfId="3401" priority="2359">
      <formula>U46&gt;F46</formula>
    </cfRule>
  </conditionalFormatting>
  <conditionalFormatting sqref="Q51:R53">
    <cfRule type="expression" dxfId="3400" priority="2353">
      <formula>$AE51=4</formula>
    </cfRule>
    <cfRule type="expression" dxfId="3399" priority="2354">
      <formula>$AE51=3</formula>
    </cfRule>
    <cfRule type="expression" dxfId="3398" priority="2355">
      <formula>$AE51=2</formula>
    </cfRule>
    <cfRule type="expression" dxfId="3397" priority="2356">
      <formula>$AE51=1</formula>
    </cfRule>
  </conditionalFormatting>
  <conditionalFormatting sqref="X51:Y53">
    <cfRule type="expression" dxfId="3396" priority="2349">
      <formula>$AF51=4</formula>
    </cfRule>
    <cfRule type="expression" dxfId="3395" priority="2350">
      <formula>$AF51=3</formula>
    </cfRule>
    <cfRule type="expression" dxfId="3394" priority="2351">
      <formula>$AF51=2</formula>
    </cfRule>
    <cfRule type="expression" dxfId="3393" priority="2352">
      <formula>$AF51=1</formula>
    </cfRule>
  </conditionalFormatting>
  <conditionalFormatting sqref="N51:N53">
    <cfRule type="expression" dxfId="3392" priority="2348">
      <formula>$AC51=2</formula>
    </cfRule>
  </conditionalFormatting>
  <conditionalFormatting sqref="N51:N53">
    <cfRule type="expression" dxfId="3391" priority="2347">
      <formula>N51&gt;F51</formula>
    </cfRule>
  </conditionalFormatting>
  <conditionalFormatting sqref="G51:G53">
    <cfRule type="expression" dxfId="3390" priority="2334">
      <formula>G51&gt;F51</formula>
    </cfRule>
  </conditionalFormatting>
  <conditionalFormatting sqref="J51:K53">
    <cfRule type="expression" dxfId="3389" priority="2338">
      <formula>$AD51=4</formula>
    </cfRule>
    <cfRule type="expression" dxfId="3388" priority="2339">
      <formula>$AD51=3</formula>
    </cfRule>
    <cfRule type="expression" dxfId="3387" priority="2340">
      <formula>$AD51=2</formula>
    </cfRule>
    <cfRule type="expression" dxfId="3386" priority="2341">
      <formula>$AD51=1</formula>
    </cfRule>
  </conditionalFormatting>
  <conditionalFormatting sqref="J51:K53">
    <cfRule type="expression" dxfId="3385" priority="2337">
      <formula>$AC51=2</formula>
    </cfRule>
  </conditionalFormatting>
  <conditionalFormatting sqref="L51:L53">
    <cfRule type="expression" dxfId="3384" priority="2336">
      <formula>$AC51=2</formula>
    </cfRule>
  </conditionalFormatting>
  <conditionalFormatting sqref="G51:G53">
    <cfRule type="expression" dxfId="3383" priority="2335">
      <formula>$AC51=2</formula>
    </cfRule>
  </conditionalFormatting>
  <conditionalFormatting sqref="O51:O53">
    <cfRule type="expression" dxfId="3382" priority="2333">
      <formula>$AC51=2</formula>
    </cfRule>
  </conditionalFormatting>
  <conditionalFormatting sqref="V51:V53">
    <cfRule type="expression" dxfId="3381" priority="2332">
      <formula>$AC51=2</formula>
    </cfRule>
  </conditionalFormatting>
  <conditionalFormatting sqref="U51:U53">
    <cfRule type="expression" dxfId="3380" priority="2330">
      <formula>U51&gt;F51</formula>
    </cfRule>
  </conditionalFormatting>
  <conditionalFormatting sqref="Q55:R56">
    <cfRule type="expression" dxfId="3379" priority="2324">
      <formula>$AE55=4</formula>
    </cfRule>
    <cfRule type="expression" dxfId="3378" priority="2325">
      <formula>$AE55=3</formula>
    </cfRule>
    <cfRule type="expression" dxfId="3377" priority="2326">
      <formula>$AE55=2</formula>
    </cfRule>
    <cfRule type="expression" dxfId="3376" priority="2327">
      <formula>$AE55=1</formula>
    </cfRule>
  </conditionalFormatting>
  <conditionalFormatting sqref="X55:Y56">
    <cfRule type="expression" dxfId="3375" priority="2320">
      <formula>$AF55=4</formula>
    </cfRule>
    <cfRule type="expression" dxfId="3374" priority="2321">
      <formula>$AF55=3</formula>
    </cfRule>
    <cfRule type="expression" dxfId="3373" priority="2322">
      <formula>$AF55=2</formula>
    </cfRule>
    <cfRule type="expression" dxfId="3372" priority="2323">
      <formula>$AF55=1</formula>
    </cfRule>
  </conditionalFormatting>
  <conditionalFormatting sqref="N56">
    <cfRule type="expression" dxfId="3371" priority="2319">
      <formula>$AC56=2</formula>
    </cfRule>
  </conditionalFormatting>
  <conditionalFormatting sqref="N56">
    <cfRule type="expression" dxfId="3370" priority="2318">
      <formula>N56&gt;F56</formula>
    </cfRule>
  </conditionalFormatting>
  <conditionalFormatting sqref="G56">
    <cfRule type="expression" dxfId="3369" priority="2305">
      <formula>G56&gt;F56</formula>
    </cfRule>
  </conditionalFormatting>
  <conditionalFormatting sqref="J55:K56">
    <cfRule type="expression" dxfId="3368" priority="2309">
      <formula>$AD55=4</formula>
    </cfRule>
    <cfRule type="expression" dxfId="3367" priority="2310">
      <formula>$AD55=3</formula>
    </cfRule>
    <cfRule type="expression" dxfId="3366" priority="2311">
      <formula>$AD55=2</formula>
    </cfRule>
    <cfRule type="expression" dxfId="3365" priority="2312">
      <formula>$AD55=1</formula>
    </cfRule>
  </conditionalFormatting>
  <conditionalFormatting sqref="J55:K56">
    <cfRule type="expression" dxfId="3364" priority="2308">
      <formula>$AC55=2</formula>
    </cfRule>
  </conditionalFormatting>
  <conditionalFormatting sqref="L55:L56">
    <cfRule type="expression" dxfId="3363" priority="2307">
      <formula>$AC55=2</formula>
    </cfRule>
  </conditionalFormatting>
  <conditionalFormatting sqref="G56">
    <cfRule type="expression" dxfId="3362" priority="2306">
      <formula>$AC56=2</formula>
    </cfRule>
  </conditionalFormatting>
  <conditionalFormatting sqref="O55:O56">
    <cfRule type="expression" dxfId="3361" priority="2304">
      <formula>$AC55=2</formula>
    </cfRule>
  </conditionalFormatting>
  <conditionalFormatting sqref="V55:V56">
    <cfRule type="expression" dxfId="3360" priority="2303">
      <formula>$AC55=2</formula>
    </cfRule>
  </conditionalFormatting>
  <conditionalFormatting sqref="U56">
    <cfRule type="expression" dxfId="3359" priority="2302">
      <formula>$AC56=2</formula>
    </cfRule>
  </conditionalFormatting>
  <conditionalFormatting sqref="U56">
    <cfRule type="expression" dxfId="3358" priority="2301">
      <formula>U56&gt;F56</formula>
    </cfRule>
  </conditionalFormatting>
  <conditionalFormatting sqref="Q58:R59">
    <cfRule type="expression" dxfId="3357" priority="2295">
      <formula>$AE58=4</formula>
    </cfRule>
    <cfRule type="expression" dxfId="3356" priority="2296">
      <formula>$AE58=3</formula>
    </cfRule>
    <cfRule type="expression" dxfId="3355" priority="2297">
      <formula>$AE58=2</formula>
    </cfRule>
    <cfRule type="expression" dxfId="3354" priority="2298">
      <formula>$AE58=1</formula>
    </cfRule>
  </conditionalFormatting>
  <conditionalFormatting sqref="X58:Y59">
    <cfRule type="expression" dxfId="3353" priority="2291">
      <formula>$AF58=4</formula>
    </cfRule>
    <cfRule type="expression" dxfId="3352" priority="2292">
      <formula>$AF58=3</formula>
    </cfRule>
    <cfRule type="expression" dxfId="3351" priority="2293">
      <formula>$AF58=2</formula>
    </cfRule>
    <cfRule type="expression" dxfId="3350" priority="2294">
      <formula>$AF58=1</formula>
    </cfRule>
  </conditionalFormatting>
  <conditionalFormatting sqref="N58:N59">
    <cfRule type="expression" dxfId="3349" priority="2290">
      <formula>$AC58=2</formula>
    </cfRule>
  </conditionalFormatting>
  <conditionalFormatting sqref="N58:N59">
    <cfRule type="expression" dxfId="3348" priority="2289">
      <formula>N58&gt;F58</formula>
    </cfRule>
  </conditionalFormatting>
  <conditionalFormatting sqref="G58:G59">
    <cfRule type="expression" dxfId="3347" priority="2276">
      <formula>G58&gt;F58</formula>
    </cfRule>
  </conditionalFormatting>
  <conditionalFormatting sqref="J58:K59">
    <cfRule type="expression" dxfId="3346" priority="2280">
      <formula>$AD58=4</formula>
    </cfRule>
    <cfRule type="expression" dxfId="3345" priority="2281">
      <formula>$AD58=3</formula>
    </cfRule>
    <cfRule type="expression" dxfId="3344" priority="2282">
      <formula>$AD58=2</formula>
    </cfRule>
    <cfRule type="expression" dxfId="3343" priority="2283">
      <formula>$AD58=1</formula>
    </cfRule>
  </conditionalFormatting>
  <conditionalFormatting sqref="J58:K59">
    <cfRule type="expression" dxfId="3342" priority="2279">
      <formula>$AC58=2</formula>
    </cfRule>
  </conditionalFormatting>
  <conditionalFormatting sqref="G58:G59">
    <cfRule type="expression" dxfId="3341" priority="2277">
      <formula>$AC58=2</formula>
    </cfRule>
  </conditionalFormatting>
  <conditionalFormatting sqref="V58:V59">
    <cfRule type="expression" dxfId="3340" priority="2274">
      <formula>$AC58=2</formula>
    </cfRule>
  </conditionalFormatting>
  <conditionalFormatting sqref="U58:U59">
    <cfRule type="expression" dxfId="3339" priority="2273">
      <formula>$AC58=2</formula>
    </cfRule>
  </conditionalFormatting>
  <conditionalFormatting sqref="U58:U59">
    <cfRule type="expression" dxfId="3338" priority="2272">
      <formula>U58&gt;F58</formula>
    </cfRule>
  </conditionalFormatting>
  <conditionalFormatting sqref="Q61:R61">
    <cfRule type="expression" dxfId="3337" priority="2266">
      <formula>$AE61=4</formula>
    </cfRule>
    <cfRule type="expression" dxfId="3336" priority="2267">
      <formula>$AE61=3</formula>
    </cfRule>
    <cfRule type="expression" dxfId="3335" priority="2268">
      <formula>$AE61=2</formula>
    </cfRule>
    <cfRule type="expression" dxfId="3334" priority="2269">
      <formula>$AE61=1</formula>
    </cfRule>
  </conditionalFormatting>
  <conditionalFormatting sqref="X61:Y61">
    <cfRule type="expression" dxfId="3333" priority="2262">
      <formula>$AF61=4</formula>
    </cfRule>
    <cfRule type="expression" dxfId="3332" priority="2263">
      <formula>$AF61=3</formula>
    </cfRule>
    <cfRule type="expression" dxfId="3331" priority="2264">
      <formula>$AF61=2</formula>
    </cfRule>
    <cfRule type="expression" dxfId="3330" priority="2265">
      <formula>$AF61=1</formula>
    </cfRule>
  </conditionalFormatting>
  <conditionalFormatting sqref="N61">
    <cfRule type="expression" dxfId="3329" priority="2261">
      <formula>$AC61=2</formula>
    </cfRule>
  </conditionalFormatting>
  <conditionalFormatting sqref="N61">
    <cfRule type="expression" dxfId="3328" priority="2260">
      <formula>N61&gt;F61</formula>
    </cfRule>
  </conditionalFormatting>
  <conditionalFormatting sqref="G61">
    <cfRule type="expression" dxfId="3327" priority="2247">
      <formula>G61&gt;F61</formula>
    </cfRule>
  </conditionalFormatting>
  <conditionalFormatting sqref="J61:K61">
    <cfRule type="expression" dxfId="3326" priority="2251">
      <formula>$AD61=4</formula>
    </cfRule>
    <cfRule type="expression" dxfId="3325" priority="2252">
      <formula>$AD61=3</formula>
    </cfRule>
    <cfRule type="expression" dxfId="3324" priority="2253">
      <formula>$AD61=2</formula>
    </cfRule>
    <cfRule type="expression" dxfId="3323" priority="2254">
      <formula>$AD61=1</formula>
    </cfRule>
  </conditionalFormatting>
  <conditionalFormatting sqref="J61:K61">
    <cfRule type="expression" dxfId="3322" priority="2250">
      <formula>$AC61=2</formula>
    </cfRule>
  </conditionalFormatting>
  <conditionalFormatting sqref="L61">
    <cfRule type="expression" dxfId="3321" priority="2249">
      <formula>$AC61=2</formula>
    </cfRule>
  </conditionalFormatting>
  <conditionalFormatting sqref="G61">
    <cfRule type="expression" dxfId="3320" priority="2248">
      <formula>$AC61=2</formula>
    </cfRule>
  </conditionalFormatting>
  <conditionalFormatting sqref="O61">
    <cfRule type="expression" dxfId="3319" priority="2246">
      <formula>$AC61=2</formula>
    </cfRule>
  </conditionalFormatting>
  <conditionalFormatting sqref="V61">
    <cfRule type="expression" dxfId="3318" priority="4486">
      <formula>$AC61=2</formula>
    </cfRule>
  </conditionalFormatting>
  <conditionalFormatting sqref="U61">
    <cfRule type="expression" dxfId="3317" priority="2244">
      <formula>$AC61=2</formula>
    </cfRule>
  </conditionalFormatting>
  <conditionalFormatting sqref="U61">
    <cfRule type="expression" dxfId="3316" priority="2243">
      <formula>U61&gt;F61</formula>
    </cfRule>
  </conditionalFormatting>
  <conditionalFormatting sqref="Q66:R71">
    <cfRule type="expression" dxfId="3315" priority="2237">
      <formula>$AE66=4</formula>
    </cfRule>
    <cfRule type="expression" dxfId="3314" priority="2238">
      <formula>$AE66=3</formula>
    </cfRule>
    <cfRule type="expression" dxfId="3313" priority="2239">
      <formula>$AE66=2</formula>
    </cfRule>
    <cfRule type="expression" dxfId="3312" priority="2240">
      <formula>$AE66=1</formula>
    </cfRule>
  </conditionalFormatting>
  <conditionalFormatting sqref="X66:Y71">
    <cfRule type="expression" dxfId="3311" priority="2233">
      <formula>$AF66=4</formula>
    </cfRule>
    <cfRule type="expression" dxfId="3310" priority="2234">
      <formula>$AF66=3</formula>
    </cfRule>
    <cfRule type="expression" dxfId="3309" priority="2235">
      <formula>$AF66=2</formula>
    </cfRule>
    <cfRule type="expression" dxfId="3308" priority="2236">
      <formula>$AF66=1</formula>
    </cfRule>
  </conditionalFormatting>
  <conditionalFormatting sqref="N66:N71">
    <cfRule type="expression" dxfId="3307" priority="2232">
      <formula>$AC66=2</formula>
    </cfRule>
  </conditionalFormatting>
  <conditionalFormatting sqref="N66:N71">
    <cfRule type="expression" dxfId="3306" priority="2231">
      <formula>N66&gt;F66</formula>
    </cfRule>
  </conditionalFormatting>
  <conditionalFormatting sqref="G66:G68 G70:G71">
    <cfRule type="expression" dxfId="3305" priority="2218">
      <formula>G66&gt;F66</formula>
    </cfRule>
  </conditionalFormatting>
  <conditionalFormatting sqref="J66:K71">
    <cfRule type="expression" dxfId="3304" priority="2222">
      <formula>$AD66=4</formula>
    </cfRule>
    <cfRule type="expression" dxfId="3303" priority="2223">
      <formula>$AD66=3</formula>
    </cfRule>
    <cfRule type="expression" dxfId="3302" priority="2224">
      <formula>$AD66=2</formula>
    </cfRule>
    <cfRule type="expression" dxfId="3301" priority="2225">
      <formula>$AD66=1</formula>
    </cfRule>
  </conditionalFormatting>
  <conditionalFormatting sqref="J66:K71">
    <cfRule type="expression" dxfId="3300" priority="2221">
      <formula>$AC66=2</formula>
    </cfRule>
  </conditionalFormatting>
  <conditionalFormatting sqref="L67:L71">
    <cfRule type="expression" dxfId="3299" priority="2220">
      <formula>$AC67=2</formula>
    </cfRule>
  </conditionalFormatting>
  <conditionalFormatting sqref="G66:G68 G70:G71">
    <cfRule type="expression" dxfId="3298" priority="2219">
      <formula>$AC66=2</formula>
    </cfRule>
  </conditionalFormatting>
  <conditionalFormatting sqref="O66:O71">
    <cfRule type="expression" dxfId="3297" priority="2217">
      <formula>$AC66=2</formula>
    </cfRule>
  </conditionalFormatting>
  <conditionalFormatting sqref="V66:V71">
    <cfRule type="expression" dxfId="3296" priority="2216">
      <formula>$AC66=2</formula>
    </cfRule>
  </conditionalFormatting>
  <conditionalFormatting sqref="U66:U68 U70:U71">
    <cfRule type="expression" dxfId="3295" priority="2215">
      <formula>$AC66=2</formula>
    </cfRule>
  </conditionalFormatting>
  <conditionalFormatting sqref="U66:U68 U70:U71">
    <cfRule type="expression" dxfId="3294" priority="2214">
      <formula>U66&gt;F66</formula>
    </cfRule>
  </conditionalFormatting>
  <conditionalFormatting sqref="Q73:R75">
    <cfRule type="expression" dxfId="3293" priority="2208">
      <formula>$AE73=4</formula>
    </cfRule>
    <cfRule type="expression" dxfId="3292" priority="2209">
      <formula>$AE73=3</formula>
    </cfRule>
    <cfRule type="expression" dxfId="3291" priority="2210">
      <formula>$AE73=2</formula>
    </cfRule>
    <cfRule type="expression" dxfId="3290" priority="2211">
      <formula>$AE73=1</formula>
    </cfRule>
  </conditionalFormatting>
  <conditionalFormatting sqref="X73:Y75">
    <cfRule type="expression" dxfId="3289" priority="2204">
      <formula>$AF73=4</formula>
    </cfRule>
    <cfRule type="expression" dxfId="3288" priority="2205">
      <formula>$AF73=3</formula>
    </cfRule>
    <cfRule type="expression" dxfId="3287" priority="2206">
      <formula>$AF73=2</formula>
    </cfRule>
    <cfRule type="expression" dxfId="3286" priority="2207">
      <formula>$AF73=1</formula>
    </cfRule>
  </conditionalFormatting>
  <conditionalFormatting sqref="N73:N75">
    <cfRule type="expression" dxfId="3285" priority="2203">
      <formula>$AC73=2</formula>
    </cfRule>
  </conditionalFormatting>
  <conditionalFormatting sqref="N73:N75">
    <cfRule type="expression" dxfId="3284" priority="2202">
      <formula>N73&gt;F73</formula>
    </cfRule>
  </conditionalFormatting>
  <conditionalFormatting sqref="G73:G75">
    <cfRule type="expression" dxfId="3283" priority="2189">
      <formula>G73&gt;F73</formula>
    </cfRule>
  </conditionalFormatting>
  <conditionalFormatting sqref="J73:K75">
    <cfRule type="expression" dxfId="3282" priority="2193">
      <formula>$AD73=4</formula>
    </cfRule>
    <cfRule type="expression" dxfId="3281" priority="2194">
      <formula>$AD73=3</formula>
    </cfRule>
    <cfRule type="expression" dxfId="3280" priority="2195">
      <formula>$AD73=2</formula>
    </cfRule>
    <cfRule type="expression" dxfId="3279" priority="2196">
      <formula>$AD73=1</formula>
    </cfRule>
  </conditionalFormatting>
  <conditionalFormatting sqref="J73:K75">
    <cfRule type="expression" dxfId="3278" priority="2192">
      <formula>$AC73=2</formula>
    </cfRule>
  </conditionalFormatting>
  <conditionalFormatting sqref="L73:L75">
    <cfRule type="expression" dxfId="3277" priority="2191">
      <formula>$AC73=2</formula>
    </cfRule>
  </conditionalFormatting>
  <conditionalFormatting sqref="G73:G75">
    <cfRule type="expression" dxfId="3276" priority="2190">
      <formula>$AC73=2</formula>
    </cfRule>
  </conditionalFormatting>
  <conditionalFormatting sqref="O73:O75">
    <cfRule type="expression" dxfId="3275" priority="2188">
      <formula>$AC73=2</formula>
    </cfRule>
  </conditionalFormatting>
  <conditionalFormatting sqref="V73:V75">
    <cfRule type="expression" dxfId="3274" priority="2187">
      <formula>$AC73=2</formula>
    </cfRule>
  </conditionalFormatting>
  <conditionalFormatting sqref="U73:U75">
    <cfRule type="expression" dxfId="3273" priority="2186">
      <formula>$AC73=2</formula>
    </cfRule>
  </conditionalFormatting>
  <conditionalFormatting sqref="U73:U75">
    <cfRule type="expression" dxfId="3272" priority="2185">
      <formula>U73&gt;F73</formula>
    </cfRule>
  </conditionalFormatting>
  <conditionalFormatting sqref="Q77:R78">
    <cfRule type="expression" dxfId="3271" priority="2179">
      <formula>$AE77=4</formula>
    </cfRule>
    <cfRule type="expression" dxfId="3270" priority="2180">
      <formula>$AE77=3</formula>
    </cfRule>
    <cfRule type="expression" dxfId="3269" priority="2181">
      <formula>$AE77=2</formula>
    </cfRule>
    <cfRule type="expression" dxfId="3268" priority="2182">
      <formula>$AE77=1</formula>
    </cfRule>
  </conditionalFormatting>
  <conditionalFormatting sqref="X77:Y78">
    <cfRule type="expression" dxfId="3267" priority="2175">
      <formula>$AF77=4</formula>
    </cfRule>
    <cfRule type="expression" dxfId="3266" priority="2176">
      <formula>$AF77=3</formula>
    </cfRule>
    <cfRule type="expression" dxfId="3265" priority="2177">
      <formula>$AF77=2</formula>
    </cfRule>
    <cfRule type="expression" dxfId="3264" priority="2178">
      <formula>$AF77=1</formula>
    </cfRule>
  </conditionalFormatting>
  <conditionalFormatting sqref="N77:N78">
    <cfRule type="expression" dxfId="3263" priority="2174">
      <formula>$AC77=2</formula>
    </cfRule>
  </conditionalFormatting>
  <conditionalFormatting sqref="N77:N78">
    <cfRule type="expression" dxfId="3262" priority="2173">
      <formula>N77&gt;F77</formula>
    </cfRule>
  </conditionalFormatting>
  <conditionalFormatting sqref="G77:G78">
    <cfRule type="expression" dxfId="3261" priority="2160">
      <formula>G77&gt;F77</formula>
    </cfRule>
  </conditionalFormatting>
  <conditionalFormatting sqref="J77:K78">
    <cfRule type="expression" dxfId="3260" priority="2164">
      <formula>$AD77=4</formula>
    </cfRule>
    <cfRule type="expression" dxfId="3259" priority="2165">
      <formula>$AD77=3</formula>
    </cfRule>
    <cfRule type="expression" dxfId="3258" priority="2166">
      <formula>$AD77=2</formula>
    </cfRule>
    <cfRule type="expression" dxfId="3257" priority="2167">
      <formula>$AD77=1</formula>
    </cfRule>
  </conditionalFormatting>
  <conditionalFormatting sqref="J77:K78">
    <cfRule type="expression" dxfId="3256" priority="2163">
      <formula>$AC77=2</formula>
    </cfRule>
  </conditionalFormatting>
  <conditionalFormatting sqref="L77:L78">
    <cfRule type="expression" dxfId="3255" priority="2162">
      <formula>$AC77=2</formula>
    </cfRule>
  </conditionalFormatting>
  <conditionalFormatting sqref="G77:G78">
    <cfRule type="expression" dxfId="3254" priority="2161">
      <formula>$AC77=2</formula>
    </cfRule>
  </conditionalFormatting>
  <conditionalFormatting sqref="O77:O78">
    <cfRule type="expression" dxfId="3253" priority="2159">
      <formula>$AC77=2</formula>
    </cfRule>
  </conditionalFormatting>
  <conditionalFormatting sqref="V77:V78">
    <cfRule type="expression" dxfId="3252" priority="2158">
      <formula>$AC77=2</formula>
    </cfRule>
  </conditionalFormatting>
  <conditionalFormatting sqref="U77:U78">
    <cfRule type="expression" dxfId="3251" priority="2157">
      <formula>$AC77=2</formula>
    </cfRule>
  </conditionalFormatting>
  <conditionalFormatting sqref="U77:U78">
    <cfRule type="expression" dxfId="3250" priority="2156">
      <formula>U77&gt;F77</formula>
    </cfRule>
  </conditionalFormatting>
  <conditionalFormatting sqref="Q80:R81">
    <cfRule type="expression" dxfId="3249" priority="2150">
      <formula>$AE80=4</formula>
    </cfRule>
    <cfRule type="expression" dxfId="3248" priority="2151">
      <formula>$AE80=3</formula>
    </cfRule>
    <cfRule type="expression" dxfId="3247" priority="2152">
      <formula>$AE80=2</formula>
    </cfRule>
    <cfRule type="expression" dxfId="3246" priority="2153">
      <formula>$AE80=1</formula>
    </cfRule>
  </conditionalFormatting>
  <conditionalFormatting sqref="X80:Y81">
    <cfRule type="expression" dxfId="3245" priority="2146">
      <formula>$AF80=4</formula>
    </cfRule>
    <cfRule type="expression" dxfId="3244" priority="2147">
      <formula>$AF80=3</formula>
    </cfRule>
    <cfRule type="expression" dxfId="3243" priority="2148">
      <formula>$AF80=2</formula>
    </cfRule>
    <cfRule type="expression" dxfId="3242" priority="2149">
      <formula>$AF80=1</formula>
    </cfRule>
  </conditionalFormatting>
  <conditionalFormatting sqref="N80:N81">
    <cfRule type="expression" dxfId="3241" priority="2145">
      <formula>$AC80=2</formula>
    </cfRule>
  </conditionalFormatting>
  <conditionalFormatting sqref="N80:N81">
    <cfRule type="expression" dxfId="3240" priority="2144">
      <formula>N80&gt;F80</formula>
    </cfRule>
  </conditionalFormatting>
  <conditionalFormatting sqref="G80:G81">
    <cfRule type="expression" dxfId="3239" priority="2131">
      <formula>G80&gt;F80</formula>
    </cfRule>
  </conditionalFormatting>
  <conditionalFormatting sqref="J80:K81">
    <cfRule type="expression" dxfId="3238" priority="2135">
      <formula>$AD80=4</formula>
    </cfRule>
    <cfRule type="expression" dxfId="3237" priority="2136">
      <formula>$AD80=3</formula>
    </cfRule>
    <cfRule type="expression" dxfId="3236" priority="2137">
      <formula>$AD80=2</formula>
    </cfRule>
    <cfRule type="expression" dxfId="3235" priority="2138">
      <formula>$AD80=1</formula>
    </cfRule>
  </conditionalFormatting>
  <conditionalFormatting sqref="J80:K81">
    <cfRule type="expression" dxfId="3234" priority="2134">
      <formula>$AC80=2</formula>
    </cfRule>
  </conditionalFormatting>
  <conditionalFormatting sqref="L80:L81">
    <cfRule type="expression" dxfId="3233" priority="2133">
      <formula>$AC80=2</formula>
    </cfRule>
  </conditionalFormatting>
  <conditionalFormatting sqref="G80:G81">
    <cfRule type="expression" dxfId="3232" priority="2132">
      <formula>$AC80=2</formula>
    </cfRule>
  </conditionalFormatting>
  <conditionalFormatting sqref="O80:O81">
    <cfRule type="expression" dxfId="3231" priority="2130">
      <formula>$AC80=2</formula>
    </cfRule>
  </conditionalFormatting>
  <conditionalFormatting sqref="V80:V81">
    <cfRule type="expression" dxfId="3230" priority="2129">
      <formula>$AC80=2</formula>
    </cfRule>
  </conditionalFormatting>
  <conditionalFormatting sqref="U80:U81">
    <cfRule type="expression" dxfId="3229" priority="2128">
      <formula>$AC80=2</formula>
    </cfRule>
  </conditionalFormatting>
  <conditionalFormatting sqref="U80:U81">
    <cfRule type="expression" dxfId="3228" priority="2127">
      <formula>U80&gt;F80</formula>
    </cfRule>
  </conditionalFormatting>
  <conditionalFormatting sqref="Q83:R83">
    <cfRule type="expression" dxfId="3227" priority="2121">
      <formula>$AE83=4</formula>
    </cfRule>
    <cfRule type="expression" dxfId="3226" priority="2122">
      <formula>$AE83=3</formula>
    </cfRule>
    <cfRule type="expression" dxfId="3225" priority="2123">
      <formula>$AE83=2</formula>
    </cfRule>
    <cfRule type="expression" dxfId="3224" priority="2124">
      <formula>$AE83=1</formula>
    </cfRule>
  </conditionalFormatting>
  <conditionalFormatting sqref="X83:Y83">
    <cfRule type="expression" dxfId="3223" priority="2117">
      <formula>$AF83=4</formula>
    </cfRule>
    <cfRule type="expression" dxfId="3222" priority="2118">
      <formula>$AF83=3</formula>
    </cfRule>
    <cfRule type="expression" dxfId="3221" priority="2119">
      <formula>$AF83=2</formula>
    </cfRule>
    <cfRule type="expression" dxfId="3220" priority="2120">
      <formula>$AF83=1</formula>
    </cfRule>
  </conditionalFormatting>
  <conditionalFormatting sqref="N83">
    <cfRule type="expression" dxfId="3219" priority="2116">
      <formula>$AC83=2</formula>
    </cfRule>
  </conditionalFormatting>
  <conditionalFormatting sqref="N83 N85">
    <cfRule type="expression" dxfId="3218" priority="2115">
      <formula>N83&gt;F83</formula>
    </cfRule>
  </conditionalFormatting>
  <conditionalFormatting sqref="G83 G85">
    <cfRule type="expression" dxfId="3217" priority="2102">
      <formula>G83&gt;F83</formula>
    </cfRule>
  </conditionalFormatting>
  <conditionalFormatting sqref="J83:K83">
    <cfRule type="expression" dxfId="3216" priority="2106">
      <formula>$AD83=4</formula>
    </cfRule>
    <cfRule type="expression" dxfId="3215" priority="2107">
      <formula>$AD83=3</formula>
    </cfRule>
    <cfRule type="expression" dxfId="3214" priority="2108">
      <formula>$AD83=2</formula>
    </cfRule>
    <cfRule type="expression" dxfId="3213" priority="2109">
      <formula>$AD83=1</formula>
    </cfRule>
  </conditionalFormatting>
  <conditionalFormatting sqref="J83:K83">
    <cfRule type="expression" dxfId="3212" priority="2105">
      <formula>$AC83=2</formula>
    </cfRule>
  </conditionalFormatting>
  <conditionalFormatting sqref="L83">
    <cfRule type="expression" dxfId="3211" priority="2104">
      <formula>$AC83=2</formula>
    </cfRule>
  </conditionalFormatting>
  <conditionalFormatting sqref="G83">
    <cfRule type="expression" dxfId="3210" priority="2103">
      <formula>$AC83=2</formula>
    </cfRule>
  </conditionalFormatting>
  <conditionalFormatting sqref="O83">
    <cfRule type="expression" dxfId="3209" priority="2101">
      <formula>$AC83=2</formula>
    </cfRule>
  </conditionalFormatting>
  <conditionalFormatting sqref="V83">
    <cfRule type="expression" dxfId="3208" priority="2100">
      <formula>$AC83=2</formula>
    </cfRule>
  </conditionalFormatting>
  <conditionalFormatting sqref="U83">
    <cfRule type="expression" dxfId="3207" priority="2099">
      <formula>$AC83=2</formula>
    </cfRule>
  </conditionalFormatting>
  <conditionalFormatting sqref="U83">
    <cfRule type="expression" dxfId="3206" priority="2098">
      <formula>U83&gt;F83</formula>
    </cfRule>
  </conditionalFormatting>
  <conditionalFormatting sqref="Q87:R88">
    <cfRule type="expression" dxfId="3205" priority="2092">
      <formula>$AE87=4</formula>
    </cfRule>
    <cfRule type="expression" dxfId="3204" priority="2093">
      <formula>$AE87=3</formula>
    </cfRule>
    <cfRule type="expression" dxfId="3203" priority="2094">
      <formula>$AE87=2</formula>
    </cfRule>
    <cfRule type="expression" dxfId="3202" priority="2095">
      <formula>$AE87=1</formula>
    </cfRule>
  </conditionalFormatting>
  <conditionalFormatting sqref="X87:Y88">
    <cfRule type="expression" dxfId="3201" priority="2088">
      <formula>$AF87=4</formula>
    </cfRule>
    <cfRule type="expression" dxfId="3200" priority="2089">
      <formula>$AF87=3</formula>
    </cfRule>
    <cfRule type="expression" dxfId="3199" priority="2090">
      <formula>$AF87=2</formula>
    </cfRule>
    <cfRule type="expression" dxfId="3198" priority="2091">
      <formula>$AF87=1</formula>
    </cfRule>
  </conditionalFormatting>
  <conditionalFormatting sqref="N87:N88">
    <cfRule type="expression" dxfId="3197" priority="2087">
      <formula>$AC87=2</formula>
    </cfRule>
  </conditionalFormatting>
  <conditionalFormatting sqref="N87:N88">
    <cfRule type="expression" dxfId="3196" priority="2086">
      <formula>N87&gt;F87</formula>
    </cfRule>
  </conditionalFormatting>
  <conditionalFormatting sqref="G87:G88">
    <cfRule type="expression" dxfId="3195" priority="2073">
      <formula>G87&gt;F87</formula>
    </cfRule>
  </conditionalFormatting>
  <conditionalFormatting sqref="J87:K88">
    <cfRule type="expression" dxfId="3194" priority="2077">
      <formula>$AD87=4</formula>
    </cfRule>
    <cfRule type="expression" dxfId="3193" priority="2078">
      <formula>$AD87=3</formula>
    </cfRule>
    <cfRule type="expression" dxfId="3192" priority="2079">
      <formula>$AD87=2</formula>
    </cfRule>
    <cfRule type="expression" dxfId="3191" priority="2080">
      <formula>$AD87=1</formula>
    </cfRule>
  </conditionalFormatting>
  <conditionalFormatting sqref="J87:K88">
    <cfRule type="expression" dxfId="3190" priority="2076">
      <formula>$AC87=2</formula>
    </cfRule>
  </conditionalFormatting>
  <conditionalFormatting sqref="L87:L88">
    <cfRule type="expression" dxfId="3189" priority="2075">
      <formula>$AC87=2</formula>
    </cfRule>
  </conditionalFormatting>
  <conditionalFormatting sqref="G87:G88">
    <cfRule type="expression" dxfId="3188" priority="2074">
      <formula>$AC87=2</formula>
    </cfRule>
  </conditionalFormatting>
  <conditionalFormatting sqref="O87:O88">
    <cfRule type="expression" dxfId="3187" priority="2072">
      <formula>$AC87=2</formula>
    </cfRule>
  </conditionalFormatting>
  <conditionalFormatting sqref="V87:V88">
    <cfRule type="expression" dxfId="3186" priority="2071">
      <formula>$AC87=2</formula>
    </cfRule>
  </conditionalFormatting>
  <conditionalFormatting sqref="U87:U88">
    <cfRule type="expression" dxfId="3185" priority="2070">
      <formula>$AC87=2</formula>
    </cfRule>
  </conditionalFormatting>
  <conditionalFormatting sqref="U87:U88">
    <cfRule type="expression" dxfId="3184" priority="2069">
      <formula>U87&gt;F87</formula>
    </cfRule>
  </conditionalFormatting>
  <conditionalFormatting sqref="Q90:R90">
    <cfRule type="expression" dxfId="3183" priority="2063">
      <formula>$AE90=4</formula>
    </cfRule>
    <cfRule type="expression" dxfId="3182" priority="2064">
      <formula>$AE90=3</formula>
    </cfRule>
    <cfRule type="expression" dxfId="3181" priority="2065">
      <formula>$AE90=2</formula>
    </cfRule>
    <cfRule type="expression" dxfId="3180" priority="2066">
      <formula>$AE90=1</formula>
    </cfRule>
  </conditionalFormatting>
  <conditionalFormatting sqref="X90:Y90">
    <cfRule type="expression" dxfId="3179" priority="2059">
      <formula>$AF90=4</formula>
    </cfRule>
    <cfRule type="expression" dxfId="3178" priority="2060">
      <formula>$AF90=3</formula>
    </cfRule>
    <cfRule type="expression" dxfId="3177" priority="2061">
      <formula>$AF90=2</formula>
    </cfRule>
    <cfRule type="expression" dxfId="3176" priority="2062">
      <formula>$AF90=1</formula>
    </cfRule>
  </conditionalFormatting>
  <conditionalFormatting sqref="N90">
    <cfRule type="expression" dxfId="3175" priority="2058">
      <formula>$AC90=2</formula>
    </cfRule>
  </conditionalFormatting>
  <conditionalFormatting sqref="N90">
    <cfRule type="expression" dxfId="3174" priority="2057">
      <formula>N90&gt;F90</formula>
    </cfRule>
  </conditionalFormatting>
  <conditionalFormatting sqref="G90">
    <cfRule type="expression" dxfId="3173" priority="2044">
      <formula>G90&gt;F90</formula>
    </cfRule>
  </conditionalFormatting>
  <conditionalFormatting sqref="J90:K90">
    <cfRule type="expression" dxfId="3172" priority="2048">
      <formula>$AD90=4</formula>
    </cfRule>
    <cfRule type="expression" dxfId="3171" priority="2049">
      <formula>$AD90=3</formula>
    </cfRule>
    <cfRule type="expression" dxfId="3170" priority="2050">
      <formula>$AD90=2</formula>
    </cfRule>
    <cfRule type="expression" dxfId="3169" priority="2051">
      <formula>$AD90=1</formula>
    </cfRule>
  </conditionalFormatting>
  <conditionalFormatting sqref="J90:K90">
    <cfRule type="expression" dxfId="3168" priority="2047">
      <formula>$AC90=2</formula>
    </cfRule>
  </conditionalFormatting>
  <conditionalFormatting sqref="L90">
    <cfRule type="expression" dxfId="3167" priority="2046">
      <formula>$AC90=2</formula>
    </cfRule>
  </conditionalFormatting>
  <conditionalFormatting sqref="G90">
    <cfRule type="expression" dxfId="3166" priority="2045">
      <formula>$AC90=2</formula>
    </cfRule>
  </conditionalFormatting>
  <conditionalFormatting sqref="O90">
    <cfRule type="expression" dxfId="3165" priority="2043">
      <formula>$AC90=2</formula>
    </cfRule>
  </conditionalFormatting>
  <conditionalFormatting sqref="V90">
    <cfRule type="expression" dxfId="3164" priority="2042">
      <formula>$AC90=2</formula>
    </cfRule>
  </conditionalFormatting>
  <conditionalFormatting sqref="U90">
    <cfRule type="expression" dxfId="3163" priority="2041">
      <formula>$AC90=2</formula>
    </cfRule>
  </conditionalFormatting>
  <conditionalFormatting sqref="U90">
    <cfRule type="expression" dxfId="3162" priority="2040">
      <formula>U90&gt;F90</formula>
    </cfRule>
  </conditionalFormatting>
  <conditionalFormatting sqref="Q95:R96">
    <cfRule type="expression" dxfId="3161" priority="2034">
      <formula>$AE95=4</formula>
    </cfRule>
    <cfRule type="expression" dxfId="3160" priority="2035">
      <formula>$AE95=3</formula>
    </cfRule>
    <cfRule type="expression" dxfId="3159" priority="2036">
      <formula>$AE95=2</formula>
    </cfRule>
    <cfRule type="expression" dxfId="3158" priority="2037">
      <formula>$AE95=1</formula>
    </cfRule>
  </conditionalFormatting>
  <conditionalFormatting sqref="X95:Y96">
    <cfRule type="expression" dxfId="3157" priority="2030">
      <formula>$AF95=4</formula>
    </cfRule>
    <cfRule type="expression" dxfId="3156" priority="2031">
      <formula>$AF95=3</formula>
    </cfRule>
    <cfRule type="expression" dxfId="3155" priority="2032">
      <formula>$AF95=2</formula>
    </cfRule>
    <cfRule type="expression" dxfId="3154" priority="2033">
      <formula>$AF95=1</formula>
    </cfRule>
  </conditionalFormatting>
  <conditionalFormatting sqref="N95:N96">
    <cfRule type="expression" dxfId="3153" priority="2029">
      <formula>$AC95=2</formula>
    </cfRule>
  </conditionalFormatting>
  <conditionalFormatting sqref="N95:N96">
    <cfRule type="expression" dxfId="3152" priority="2028">
      <formula>N95&gt;F95</formula>
    </cfRule>
  </conditionalFormatting>
  <conditionalFormatting sqref="G95:G96">
    <cfRule type="expression" dxfId="3151" priority="2015">
      <formula>G95&gt;F95</formula>
    </cfRule>
  </conditionalFormatting>
  <conditionalFormatting sqref="J95:K96">
    <cfRule type="expression" dxfId="3150" priority="2019">
      <formula>$AD95=4</formula>
    </cfRule>
    <cfRule type="expression" dxfId="3149" priority="2020">
      <formula>$AD95=3</formula>
    </cfRule>
    <cfRule type="expression" dxfId="3148" priority="2021">
      <formula>$AD95=2</formula>
    </cfRule>
    <cfRule type="expression" dxfId="3147" priority="2022">
      <formula>$AD95=1</formula>
    </cfRule>
  </conditionalFormatting>
  <conditionalFormatting sqref="J95:K96">
    <cfRule type="expression" dxfId="3146" priority="2018">
      <formula>$AC95=2</formula>
    </cfRule>
  </conditionalFormatting>
  <conditionalFormatting sqref="L95:L96">
    <cfRule type="expression" dxfId="3145" priority="2017">
      <formula>$AC95=2</formula>
    </cfRule>
  </conditionalFormatting>
  <conditionalFormatting sqref="G95:G96">
    <cfRule type="expression" dxfId="3144" priority="2016">
      <formula>$AC95=2</formula>
    </cfRule>
  </conditionalFormatting>
  <conditionalFormatting sqref="O95:O96">
    <cfRule type="expression" dxfId="3143" priority="2014">
      <formula>$AC95=2</formula>
    </cfRule>
  </conditionalFormatting>
  <conditionalFormatting sqref="V95:V96">
    <cfRule type="expression" dxfId="3142" priority="2013">
      <formula>$AC95=2</formula>
    </cfRule>
  </conditionalFormatting>
  <conditionalFormatting sqref="U95:U96">
    <cfRule type="expression" dxfId="3141" priority="2012">
      <formula>$AC95=2</formula>
    </cfRule>
  </conditionalFormatting>
  <conditionalFormatting sqref="U95:U96">
    <cfRule type="expression" dxfId="3140" priority="2011">
      <formula>U95&gt;F95</formula>
    </cfRule>
  </conditionalFormatting>
  <conditionalFormatting sqref="Q99:R99">
    <cfRule type="expression" dxfId="3139" priority="2005">
      <formula>$AE99=4</formula>
    </cfRule>
    <cfRule type="expression" dxfId="3138" priority="2006">
      <formula>$AE99=3</formula>
    </cfRule>
    <cfRule type="expression" dxfId="3137" priority="2007">
      <formula>$AE99=2</formula>
    </cfRule>
    <cfRule type="expression" dxfId="3136" priority="2008">
      <formula>$AE99=1</formula>
    </cfRule>
  </conditionalFormatting>
  <conditionalFormatting sqref="X99:Y99">
    <cfRule type="expression" dxfId="3135" priority="2001">
      <formula>$AF99=4</formula>
    </cfRule>
    <cfRule type="expression" dxfId="3134" priority="2002">
      <formula>$AF99=3</formula>
    </cfRule>
    <cfRule type="expression" dxfId="3133" priority="2003">
      <formula>$AF99=2</formula>
    </cfRule>
    <cfRule type="expression" dxfId="3132" priority="2004">
      <formula>$AF99=1</formula>
    </cfRule>
  </conditionalFormatting>
  <conditionalFormatting sqref="N99">
    <cfRule type="expression" dxfId="3131" priority="2000">
      <formula>$AC99=2</formula>
    </cfRule>
  </conditionalFormatting>
  <conditionalFormatting sqref="N99">
    <cfRule type="expression" dxfId="3130" priority="1999">
      <formula>N99&gt;F99</formula>
    </cfRule>
  </conditionalFormatting>
  <conditionalFormatting sqref="G99">
    <cfRule type="expression" dxfId="3129" priority="1986">
      <formula>G99&gt;F99</formula>
    </cfRule>
  </conditionalFormatting>
  <conditionalFormatting sqref="J99:K99">
    <cfRule type="expression" dxfId="3128" priority="1990">
      <formula>$AD99=4</formula>
    </cfRule>
    <cfRule type="expression" dxfId="3127" priority="1991">
      <formula>$AD99=3</formula>
    </cfRule>
    <cfRule type="expression" dxfId="3126" priority="1992">
      <formula>$AD99=2</formula>
    </cfRule>
    <cfRule type="expression" dxfId="3125" priority="1993">
      <formula>$AD99=1</formula>
    </cfRule>
  </conditionalFormatting>
  <conditionalFormatting sqref="J99:K99">
    <cfRule type="expression" dxfId="3124" priority="1989">
      <formula>$AC99=2</formula>
    </cfRule>
  </conditionalFormatting>
  <conditionalFormatting sqref="L99">
    <cfRule type="expression" dxfId="3123" priority="1988">
      <formula>$AC99=2</formula>
    </cfRule>
  </conditionalFormatting>
  <conditionalFormatting sqref="G99">
    <cfRule type="expression" dxfId="3122" priority="1987">
      <formula>$AC99=2</formula>
    </cfRule>
  </conditionalFormatting>
  <conditionalFormatting sqref="O99">
    <cfRule type="expression" dxfId="3121" priority="1985">
      <formula>$AC99=2</formula>
    </cfRule>
  </conditionalFormatting>
  <conditionalFormatting sqref="V99">
    <cfRule type="expression" dxfId="3120" priority="1984">
      <formula>$AC99=2</formula>
    </cfRule>
  </conditionalFormatting>
  <conditionalFormatting sqref="U99">
    <cfRule type="expression" dxfId="3119" priority="1983">
      <formula>$AC99=2</formula>
    </cfRule>
  </conditionalFormatting>
  <conditionalFormatting sqref="U99">
    <cfRule type="expression" dxfId="3118" priority="1982">
      <formula>U99&gt;F99</formula>
    </cfRule>
  </conditionalFormatting>
  <conditionalFormatting sqref="Q105:R105">
    <cfRule type="expression" dxfId="3117" priority="1976">
      <formula>$AE105=4</formula>
    </cfRule>
    <cfRule type="expression" dxfId="3116" priority="1977">
      <formula>$AE105=3</formula>
    </cfRule>
    <cfRule type="expression" dxfId="3115" priority="1978">
      <formula>$AE105=2</formula>
    </cfRule>
    <cfRule type="expression" dxfId="3114" priority="1979">
      <formula>$AE105=1</formula>
    </cfRule>
  </conditionalFormatting>
  <conditionalFormatting sqref="X105:Y105">
    <cfRule type="expression" dxfId="3113" priority="1972">
      <formula>$AF105=4</formula>
    </cfRule>
    <cfRule type="expression" dxfId="3112" priority="1973">
      <formula>$AF105=3</formula>
    </cfRule>
    <cfRule type="expression" dxfId="3111" priority="1974">
      <formula>$AF105=2</formula>
    </cfRule>
    <cfRule type="expression" dxfId="3110" priority="1975">
      <formula>$AF105=1</formula>
    </cfRule>
  </conditionalFormatting>
  <conditionalFormatting sqref="N105">
    <cfRule type="expression" dxfId="3109" priority="1971">
      <formula>$AC105=2</formula>
    </cfRule>
  </conditionalFormatting>
  <conditionalFormatting sqref="N105">
    <cfRule type="expression" dxfId="3108" priority="1970">
      <formula>N105&gt;F105</formula>
    </cfRule>
  </conditionalFormatting>
  <conditionalFormatting sqref="G105">
    <cfRule type="expression" dxfId="3107" priority="1957">
      <formula>G105&gt;F105</formula>
    </cfRule>
  </conditionalFormatting>
  <conditionalFormatting sqref="J105:K105">
    <cfRule type="expression" dxfId="3106" priority="1961">
      <formula>$AD105=4</formula>
    </cfRule>
    <cfRule type="expression" dxfId="3105" priority="1962">
      <formula>$AD105=3</formula>
    </cfRule>
    <cfRule type="expression" dxfId="3104" priority="1963">
      <formula>$AD105=2</formula>
    </cfRule>
    <cfRule type="expression" dxfId="3103" priority="1964">
      <formula>$AD105=1</formula>
    </cfRule>
  </conditionalFormatting>
  <conditionalFormatting sqref="J105:K105">
    <cfRule type="expression" dxfId="3102" priority="1960">
      <formula>$AC105=2</formula>
    </cfRule>
  </conditionalFormatting>
  <conditionalFormatting sqref="L105">
    <cfRule type="expression" dxfId="3101" priority="1959">
      <formula>$AC105=2</formula>
    </cfRule>
  </conditionalFormatting>
  <conditionalFormatting sqref="G105">
    <cfRule type="expression" dxfId="3100" priority="1958">
      <formula>$AC105=2</formula>
    </cfRule>
  </conditionalFormatting>
  <conditionalFormatting sqref="O105">
    <cfRule type="expression" dxfId="3099" priority="1956">
      <formula>$AC105=2</formula>
    </cfRule>
  </conditionalFormatting>
  <conditionalFormatting sqref="V105">
    <cfRule type="expression" dxfId="3098" priority="1955">
      <formula>$AC105=2</formula>
    </cfRule>
  </conditionalFormatting>
  <conditionalFormatting sqref="U105">
    <cfRule type="expression" dxfId="3097" priority="1954">
      <formula>$AC105=2</formula>
    </cfRule>
  </conditionalFormatting>
  <conditionalFormatting sqref="U105">
    <cfRule type="expression" dxfId="3096" priority="1953">
      <formula>U105&gt;F105</formula>
    </cfRule>
  </conditionalFormatting>
  <conditionalFormatting sqref="Q107:R107">
    <cfRule type="expression" dxfId="3095" priority="1947">
      <formula>$AE107=4</formula>
    </cfRule>
    <cfRule type="expression" dxfId="3094" priority="1948">
      <formula>$AE107=3</formula>
    </cfRule>
    <cfRule type="expression" dxfId="3093" priority="1949">
      <formula>$AE107=2</formula>
    </cfRule>
    <cfRule type="expression" dxfId="3092" priority="1950">
      <formula>$AE107=1</formula>
    </cfRule>
  </conditionalFormatting>
  <conditionalFormatting sqref="X107:Y107">
    <cfRule type="expression" dxfId="3091" priority="1943">
      <formula>$AF107=4</formula>
    </cfRule>
    <cfRule type="expression" dxfId="3090" priority="1944">
      <formula>$AF107=3</formula>
    </cfRule>
    <cfRule type="expression" dxfId="3089" priority="1945">
      <formula>$AF107=2</formula>
    </cfRule>
    <cfRule type="expression" dxfId="3088" priority="1946">
      <formula>$AF107=1</formula>
    </cfRule>
  </conditionalFormatting>
  <conditionalFormatting sqref="N107">
    <cfRule type="expression" dxfId="3087" priority="1942">
      <formula>$AC107=2</formula>
    </cfRule>
  </conditionalFormatting>
  <conditionalFormatting sqref="N107">
    <cfRule type="expression" dxfId="3086" priority="1941">
      <formula>N107&gt;F107</formula>
    </cfRule>
  </conditionalFormatting>
  <conditionalFormatting sqref="G107">
    <cfRule type="expression" dxfId="3085" priority="1928">
      <formula>G107&gt;F107</formula>
    </cfRule>
  </conditionalFormatting>
  <conditionalFormatting sqref="J107:K107">
    <cfRule type="expression" dxfId="3084" priority="1932">
      <formula>$AD107=4</formula>
    </cfRule>
    <cfRule type="expression" dxfId="3083" priority="1933">
      <formula>$AD107=3</formula>
    </cfRule>
    <cfRule type="expression" dxfId="3082" priority="1934">
      <formula>$AD107=2</formula>
    </cfRule>
    <cfRule type="expression" dxfId="3081" priority="1935">
      <formula>$AD107=1</formula>
    </cfRule>
  </conditionalFormatting>
  <conditionalFormatting sqref="J107:K107">
    <cfRule type="expression" dxfId="3080" priority="1931">
      <formula>$AC107=2</formula>
    </cfRule>
  </conditionalFormatting>
  <conditionalFormatting sqref="L107">
    <cfRule type="expression" dxfId="3079" priority="1930">
      <formula>$AC107=2</formula>
    </cfRule>
  </conditionalFormatting>
  <conditionalFormatting sqref="G107">
    <cfRule type="expression" dxfId="3078" priority="1929">
      <formula>$AC107=2</formula>
    </cfRule>
  </conditionalFormatting>
  <conditionalFormatting sqref="O107">
    <cfRule type="expression" dxfId="3077" priority="1927">
      <formula>$AC107=2</formula>
    </cfRule>
  </conditionalFormatting>
  <conditionalFormatting sqref="V107">
    <cfRule type="expression" dxfId="3076" priority="1926">
      <formula>$AC107=2</formula>
    </cfRule>
  </conditionalFormatting>
  <conditionalFormatting sqref="U107">
    <cfRule type="expression" dxfId="3075" priority="1925">
      <formula>$AC107=2</formula>
    </cfRule>
  </conditionalFormatting>
  <conditionalFormatting sqref="U107">
    <cfRule type="expression" dxfId="3074" priority="1924">
      <formula>U107&gt;F107</formula>
    </cfRule>
  </conditionalFormatting>
  <conditionalFormatting sqref="Q109:R111">
    <cfRule type="expression" dxfId="3073" priority="1918">
      <formula>$AE109=4</formula>
    </cfRule>
    <cfRule type="expression" dxfId="3072" priority="1919">
      <formula>$AE109=3</formula>
    </cfRule>
    <cfRule type="expression" dxfId="3071" priority="1920">
      <formula>$AE109=2</formula>
    </cfRule>
    <cfRule type="expression" dxfId="3070" priority="1921">
      <formula>$AE109=1</formula>
    </cfRule>
  </conditionalFormatting>
  <conditionalFormatting sqref="X109:Y111">
    <cfRule type="expression" dxfId="3069" priority="1914">
      <formula>$AF109=4</formula>
    </cfRule>
    <cfRule type="expression" dxfId="3068" priority="1915">
      <formula>$AF109=3</formula>
    </cfRule>
    <cfRule type="expression" dxfId="3067" priority="1916">
      <formula>$AF109=2</formula>
    </cfRule>
    <cfRule type="expression" dxfId="3066" priority="1917">
      <formula>$AF109=1</formula>
    </cfRule>
  </conditionalFormatting>
  <conditionalFormatting sqref="N109:N111">
    <cfRule type="expression" dxfId="3065" priority="1913">
      <formula>$AC109=2</formula>
    </cfRule>
  </conditionalFormatting>
  <conditionalFormatting sqref="N109:N111">
    <cfRule type="expression" dxfId="3064" priority="1912">
      <formula>N109&gt;F109</formula>
    </cfRule>
  </conditionalFormatting>
  <conditionalFormatting sqref="G109:G111">
    <cfRule type="expression" dxfId="3063" priority="1899">
      <formula>G109&gt;F109</formula>
    </cfRule>
  </conditionalFormatting>
  <conditionalFormatting sqref="J109:K111">
    <cfRule type="expression" dxfId="3062" priority="1903">
      <formula>$AD109=4</formula>
    </cfRule>
    <cfRule type="expression" dxfId="3061" priority="1904">
      <formula>$AD109=3</formula>
    </cfRule>
    <cfRule type="expression" dxfId="3060" priority="1905">
      <formula>$AD109=2</formula>
    </cfRule>
    <cfRule type="expression" dxfId="3059" priority="1906">
      <formula>$AD109=1</formula>
    </cfRule>
  </conditionalFormatting>
  <conditionalFormatting sqref="J109:K111">
    <cfRule type="expression" dxfId="3058" priority="1902">
      <formula>$AC109=2</formula>
    </cfRule>
  </conditionalFormatting>
  <conditionalFormatting sqref="L109:L111">
    <cfRule type="expression" dxfId="3057" priority="1901">
      <formula>$AC109=2</formula>
    </cfRule>
  </conditionalFormatting>
  <conditionalFormatting sqref="G109:G111">
    <cfRule type="expression" dxfId="3056" priority="1900">
      <formula>$AC109=2</formula>
    </cfRule>
  </conditionalFormatting>
  <conditionalFormatting sqref="O109:O111">
    <cfRule type="expression" dxfId="3055" priority="1898">
      <formula>$AC109=2</formula>
    </cfRule>
  </conditionalFormatting>
  <conditionalFormatting sqref="V109:V111">
    <cfRule type="expression" dxfId="3054" priority="1897">
      <formula>$AC109=2</formula>
    </cfRule>
  </conditionalFormatting>
  <conditionalFormatting sqref="U109:U111">
    <cfRule type="expression" dxfId="3053" priority="1896">
      <formula>$AC109=2</formula>
    </cfRule>
  </conditionalFormatting>
  <conditionalFormatting sqref="U109:U111">
    <cfRule type="expression" dxfId="3052" priority="1895">
      <formula>U109&gt;F109</formula>
    </cfRule>
  </conditionalFormatting>
  <conditionalFormatting sqref="Q113:R113">
    <cfRule type="expression" dxfId="3051" priority="1889">
      <formula>$AE113=4</formula>
    </cfRule>
    <cfRule type="expression" dxfId="3050" priority="1890">
      <formula>$AE113=3</formula>
    </cfRule>
    <cfRule type="expression" dxfId="3049" priority="1891">
      <formula>$AE113=2</formula>
    </cfRule>
    <cfRule type="expression" dxfId="3048" priority="1892">
      <formula>$AE113=1</formula>
    </cfRule>
  </conditionalFormatting>
  <conditionalFormatting sqref="X113:Y113">
    <cfRule type="expression" dxfId="3047" priority="1885">
      <formula>$AF113=4</formula>
    </cfRule>
    <cfRule type="expression" dxfId="3046" priority="1886">
      <formula>$AF113=3</formula>
    </cfRule>
    <cfRule type="expression" dxfId="3045" priority="1887">
      <formula>$AF113=2</formula>
    </cfRule>
    <cfRule type="expression" dxfId="3044" priority="1888">
      <formula>$AF113=1</formula>
    </cfRule>
  </conditionalFormatting>
  <conditionalFormatting sqref="N113">
    <cfRule type="expression" dxfId="3043" priority="1884">
      <formula>$AC113=2</formula>
    </cfRule>
  </conditionalFormatting>
  <conditionalFormatting sqref="N113">
    <cfRule type="expression" dxfId="3042" priority="1883">
      <formula>N113&gt;F113</formula>
    </cfRule>
  </conditionalFormatting>
  <conditionalFormatting sqref="G113">
    <cfRule type="expression" dxfId="3041" priority="1870">
      <formula>G113&gt;F113</formula>
    </cfRule>
  </conditionalFormatting>
  <conditionalFormatting sqref="J113:K113">
    <cfRule type="expression" dxfId="3040" priority="1874">
      <formula>$AD113=4</formula>
    </cfRule>
    <cfRule type="expression" dxfId="3039" priority="1875">
      <formula>$AD113=3</formula>
    </cfRule>
    <cfRule type="expression" dxfId="3038" priority="1876">
      <formula>$AD113=2</formula>
    </cfRule>
    <cfRule type="expression" dxfId="3037" priority="1877">
      <formula>$AD113=1</formula>
    </cfRule>
  </conditionalFormatting>
  <conditionalFormatting sqref="J113:K113">
    <cfRule type="expression" dxfId="3036" priority="1873">
      <formula>$AC113=2</formula>
    </cfRule>
  </conditionalFormatting>
  <conditionalFormatting sqref="L113">
    <cfRule type="expression" dxfId="3035" priority="1872">
      <formula>$AC113=2</formula>
    </cfRule>
  </conditionalFormatting>
  <conditionalFormatting sqref="G113">
    <cfRule type="expression" dxfId="3034" priority="1871">
      <formula>$AC113=2</formula>
    </cfRule>
  </conditionalFormatting>
  <conditionalFormatting sqref="O113">
    <cfRule type="expression" dxfId="3033" priority="1869">
      <formula>$AC113=2</formula>
    </cfRule>
  </conditionalFormatting>
  <conditionalFormatting sqref="V113">
    <cfRule type="expression" dxfId="3032" priority="1868">
      <formula>$AC113=2</formula>
    </cfRule>
  </conditionalFormatting>
  <conditionalFormatting sqref="U113">
    <cfRule type="expression" dxfId="3031" priority="1867">
      <formula>$AC113=2</formula>
    </cfRule>
  </conditionalFormatting>
  <conditionalFormatting sqref="U113">
    <cfRule type="expression" dxfId="3030" priority="1866">
      <formula>U113&gt;F113</formula>
    </cfRule>
  </conditionalFormatting>
  <conditionalFormatting sqref="Q118:R119">
    <cfRule type="expression" dxfId="3029" priority="1860">
      <formula>$AE118=4</formula>
    </cfRule>
    <cfRule type="expression" dxfId="3028" priority="1861">
      <formula>$AE118=3</formula>
    </cfRule>
    <cfRule type="expression" dxfId="3027" priority="1862">
      <formula>$AE118=2</formula>
    </cfRule>
    <cfRule type="expression" dxfId="3026" priority="1863">
      <formula>$AE118=1</formula>
    </cfRule>
  </conditionalFormatting>
  <conditionalFormatting sqref="X118:Y119">
    <cfRule type="expression" dxfId="3025" priority="1856">
      <formula>$AF118=4</formula>
    </cfRule>
    <cfRule type="expression" dxfId="3024" priority="1857">
      <formula>$AF118=3</formula>
    </cfRule>
    <cfRule type="expression" dxfId="3023" priority="1858">
      <formula>$AF118=2</formula>
    </cfRule>
    <cfRule type="expression" dxfId="3022" priority="1859">
      <formula>$AF118=1</formula>
    </cfRule>
  </conditionalFormatting>
  <conditionalFormatting sqref="N119">
    <cfRule type="expression" dxfId="3021" priority="1855">
      <formula>$AC119=2</formula>
    </cfRule>
  </conditionalFormatting>
  <conditionalFormatting sqref="N119">
    <cfRule type="expression" dxfId="3020" priority="1854">
      <formula>N119&gt;F119</formula>
    </cfRule>
  </conditionalFormatting>
  <conditionalFormatting sqref="G119">
    <cfRule type="expression" dxfId="3019" priority="1841">
      <formula>G119&gt;F119</formula>
    </cfRule>
  </conditionalFormatting>
  <conditionalFormatting sqref="J118:K119">
    <cfRule type="expression" dxfId="3018" priority="1845">
      <formula>$AD118=4</formula>
    </cfRule>
    <cfRule type="expression" dxfId="3017" priority="1846">
      <formula>$AD118=3</formula>
    </cfRule>
    <cfRule type="expression" dxfId="3016" priority="1847">
      <formula>$AD118=2</formula>
    </cfRule>
    <cfRule type="expression" dxfId="3015" priority="1848">
      <formula>$AD118=1</formula>
    </cfRule>
  </conditionalFormatting>
  <conditionalFormatting sqref="J118:K119">
    <cfRule type="expression" dxfId="3014" priority="1844">
      <formula>$AC118=2</formula>
    </cfRule>
  </conditionalFormatting>
  <conditionalFormatting sqref="L118:L119">
    <cfRule type="expression" dxfId="3013" priority="1843">
      <formula>$AC118=2</formula>
    </cfRule>
  </conditionalFormatting>
  <conditionalFormatting sqref="G119">
    <cfRule type="expression" dxfId="3012" priority="1842">
      <formula>$AC119=2</formula>
    </cfRule>
  </conditionalFormatting>
  <conditionalFormatting sqref="O118:O119">
    <cfRule type="expression" dxfId="3011" priority="1840">
      <formula>$AC118=2</formula>
    </cfRule>
  </conditionalFormatting>
  <conditionalFormatting sqref="V118:V119">
    <cfRule type="expression" dxfId="3010" priority="1839">
      <formula>$AC118=2</formula>
    </cfRule>
  </conditionalFormatting>
  <conditionalFormatting sqref="U119">
    <cfRule type="expression" dxfId="3009" priority="1838">
      <formula>$AC119=2</formula>
    </cfRule>
  </conditionalFormatting>
  <conditionalFormatting sqref="U119">
    <cfRule type="expression" dxfId="3008" priority="1837">
      <formula>U119&gt;F119</formula>
    </cfRule>
  </conditionalFormatting>
  <conditionalFormatting sqref="Q120:R120">
    <cfRule type="expression" dxfId="3007" priority="1831">
      <formula>$AE120=4</formula>
    </cfRule>
    <cfRule type="expression" dxfId="3006" priority="1832">
      <formula>$AE120=3</formula>
    </cfRule>
    <cfRule type="expression" dxfId="3005" priority="1833">
      <formula>$AE120=2</formula>
    </cfRule>
    <cfRule type="expression" dxfId="3004" priority="1834">
      <formula>$AE120=1</formula>
    </cfRule>
  </conditionalFormatting>
  <conditionalFormatting sqref="X120:Y120">
    <cfRule type="expression" dxfId="3003" priority="1827">
      <formula>$AF120=4</formula>
    </cfRule>
    <cfRule type="expression" dxfId="3002" priority="1828">
      <formula>$AF120=3</formula>
    </cfRule>
    <cfRule type="expression" dxfId="3001" priority="1829">
      <formula>$AF120=2</formula>
    </cfRule>
    <cfRule type="expression" dxfId="3000" priority="1830">
      <formula>$AF120=1</formula>
    </cfRule>
  </conditionalFormatting>
  <conditionalFormatting sqref="N120">
    <cfRule type="expression" dxfId="2999" priority="1826">
      <formula>$AC120=2</formula>
    </cfRule>
  </conditionalFormatting>
  <conditionalFormatting sqref="N120">
    <cfRule type="expression" dxfId="2998" priority="1825">
      <formula>N120&gt;F120</formula>
    </cfRule>
  </conditionalFormatting>
  <conditionalFormatting sqref="G120">
    <cfRule type="expression" dxfId="2997" priority="1812">
      <formula>G120&gt;F120</formula>
    </cfRule>
  </conditionalFormatting>
  <conditionalFormatting sqref="J120:K120">
    <cfRule type="expression" dxfId="2996" priority="1816">
      <formula>$AD120=4</formula>
    </cfRule>
    <cfRule type="expression" dxfId="2995" priority="1817">
      <formula>$AD120=3</formula>
    </cfRule>
    <cfRule type="expression" dxfId="2994" priority="1818">
      <formula>$AD120=2</formula>
    </cfRule>
    <cfRule type="expression" dxfId="2993" priority="1819">
      <formula>$AD120=1</formula>
    </cfRule>
  </conditionalFormatting>
  <conditionalFormatting sqref="J120:K120">
    <cfRule type="expression" dxfId="2992" priority="1815">
      <formula>$AC120=2</formula>
    </cfRule>
  </conditionalFormatting>
  <conditionalFormatting sqref="L120">
    <cfRule type="expression" dxfId="2991" priority="1814">
      <formula>$AC120=2</formula>
    </cfRule>
  </conditionalFormatting>
  <conditionalFormatting sqref="G120">
    <cfRule type="expression" dxfId="2990" priority="1813">
      <formula>$AC120=2</formula>
    </cfRule>
  </conditionalFormatting>
  <conditionalFormatting sqref="O120">
    <cfRule type="expression" dxfId="2989" priority="1811">
      <formula>$AC120=2</formula>
    </cfRule>
  </conditionalFormatting>
  <conditionalFormatting sqref="V120">
    <cfRule type="expression" dxfId="2988" priority="1810">
      <formula>$AC120=2</formula>
    </cfRule>
  </conditionalFormatting>
  <conditionalFormatting sqref="U120">
    <cfRule type="expression" dxfId="2987" priority="1809">
      <formula>$AC120=2</formula>
    </cfRule>
  </conditionalFormatting>
  <conditionalFormatting sqref="U120">
    <cfRule type="expression" dxfId="2986" priority="1808">
      <formula>U120&gt;F120</formula>
    </cfRule>
  </conditionalFormatting>
  <conditionalFormatting sqref="Q122:R124">
    <cfRule type="expression" dxfId="2985" priority="1802">
      <formula>$AE122=4</formula>
    </cfRule>
    <cfRule type="expression" dxfId="2984" priority="1803">
      <formula>$AE122=3</formula>
    </cfRule>
    <cfRule type="expression" dxfId="2983" priority="1804">
      <formula>$AE122=2</formula>
    </cfRule>
    <cfRule type="expression" dxfId="2982" priority="1805">
      <formula>$AE122=1</formula>
    </cfRule>
  </conditionalFormatting>
  <conditionalFormatting sqref="X122:Y124">
    <cfRule type="expression" dxfId="2981" priority="1798">
      <formula>$AF122=4</formula>
    </cfRule>
    <cfRule type="expression" dxfId="2980" priority="1799">
      <formula>$AF122=3</formula>
    </cfRule>
    <cfRule type="expression" dxfId="2979" priority="1800">
      <formula>$AF122=2</formula>
    </cfRule>
    <cfRule type="expression" dxfId="2978" priority="1801">
      <formula>$AF122=1</formula>
    </cfRule>
  </conditionalFormatting>
  <conditionalFormatting sqref="N123:N124">
    <cfRule type="expression" dxfId="2977" priority="1797">
      <formula>$AC123=2</formula>
    </cfRule>
  </conditionalFormatting>
  <conditionalFormatting sqref="N123:N124">
    <cfRule type="expression" dxfId="2976" priority="1796">
      <formula>N123&gt;F123</formula>
    </cfRule>
  </conditionalFormatting>
  <conditionalFormatting sqref="G123:G124">
    <cfRule type="expression" dxfId="2975" priority="1783">
      <formula>G123&gt;F123</formula>
    </cfRule>
  </conditionalFormatting>
  <conditionalFormatting sqref="J122:K124">
    <cfRule type="expression" dxfId="2974" priority="1787">
      <formula>$AD122=4</formula>
    </cfRule>
    <cfRule type="expression" dxfId="2973" priority="1788">
      <formula>$AD122=3</formula>
    </cfRule>
    <cfRule type="expression" dxfId="2972" priority="1789">
      <formula>$AD122=2</formula>
    </cfRule>
    <cfRule type="expression" dxfId="2971" priority="1790">
      <formula>$AD122=1</formula>
    </cfRule>
  </conditionalFormatting>
  <conditionalFormatting sqref="J122:K124">
    <cfRule type="expression" dxfId="2970" priority="1786">
      <formula>$AC122=2</formula>
    </cfRule>
  </conditionalFormatting>
  <conditionalFormatting sqref="L122:L124">
    <cfRule type="expression" dxfId="2969" priority="1785">
      <formula>$AC122=2</formula>
    </cfRule>
  </conditionalFormatting>
  <conditionalFormatting sqref="G123:G124">
    <cfRule type="expression" dxfId="2968" priority="1784">
      <formula>$AC123=2</formula>
    </cfRule>
  </conditionalFormatting>
  <conditionalFormatting sqref="O122:O124">
    <cfRule type="expression" dxfId="2967" priority="1782">
      <formula>$AC122=2</formula>
    </cfRule>
  </conditionalFormatting>
  <conditionalFormatting sqref="V122:V124">
    <cfRule type="expression" dxfId="2966" priority="1781">
      <formula>$AC122=2</formula>
    </cfRule>
  </conditionalFormatting>
  <conditionalFormatting sqref="U123:U124">
    <cfRule type="expression" dxfId="2965" priority="1780">
      <formula>$AC123=2</formula>
    </cfRule>
  </conditionalFormatting>
  <conditionalFormatting sqref="U123:U124">
    <cfRule type="expression" dxfId="2964" priority="1779">
      <formula>U123&gt;F123</formula>
    </cfRule>
  </conditionalFormatting>
  <conditionalFormatting sqref="Q126:R128">
    <cfRule type="expression" dxfId="2963" priority="1773">
      <formula>$AE126=4</formula>
    </cfRule>
    <cfRule type="expression" dxfId="2962" priority="1774">
      <formula>$AE126=3</formula>
    </cfRule>
    <cfRule type="expression" dxfId="2961" priority="1775">
      <formula>$AE126=2</formula>
    </cfRule>
    <cfRule type="expression" dxfId="2960" priority="1776">
      <formula>$AE126=1</formula>
    </cfRule>
  </conditionalFormatting>
  <conditionalFormatting sqref="X126:Y128">
    <cfRule type="expression" dxfId="2959" priority="1769">
      <formula>$AF126=4</formula>
    </cfRule>
    <cfRule type="expression" dxfId="2958" priority="1770">
      <formula>$AF126=3</formula>
    </cfRule>
    <cfRule type="expression" dxfId="2957" priority="1771">
      <formula>$AF126=2</formula>
    </cfRule>
    <cfRule type="expression" dxfId="2956" priority="1772">
      <formula>$AF126=1</formula>
    </cfRule>
  </conditionalFormatting>
  <conditionalFormatting sqref="N127:N128">
    <cfRule type="expression" dxfId="2955" priority="1768">
      <formula>$AC127=2</formula>
    </cfRule>
  </conditionalFormatting>
  <conditionalFormatting sqref="N127:N128">
    <cfRule type="expression" dxfId="2954" priority="1767">
      <formula>N127&gt;F127</formula>
    </cfRule>
  </conditionalFormatting>
  <conditionalFormatting sqref="G127:G128">
    <cfRule type="expression" dxfId="2953" priority="1754">
      <formula>G127&gt;F127</formula>
    </cfRule>
  </conditionalFormatting>
  <conditionalFormatting sqref="J126:K128">
    <cfRule type="expression" dxfId="2952" priority="1758">
      <formula>$AD126=4</formula>
    </cfRule>
    <cfRule type="expression" dxfId="2951" priority="1759">
      <formula>$AD126=3</formula>
    </cfRule>
    <cfRule type="expression" dxfId="2950" priority="1760">
      <formula>$AD126=2</formula>
    </cfRule>
    <cfRule type="expression" dxfId="2949" priority="1761">
      <formula>$AD126=1</formula>
    </cfRule>
  </conditionalFormatting>
  <conditionalFormatting sqref="J126:K128">
    <cfRule type="expression" dxfId="2948" priority="1757">
      <formula>$AC126=2</formula>
    </cfRule>
  </conditionalFormatting>
  <conditionalFormatting sqref="L126:L128">
    <cfRule type="expression" dxfId="2947" priority="1756">
      <formula>$AC126=2</formula>
    </cfRule>
  </conditionalFormatting>
  <conditionalFormatting sqref="G127:G128">
    <cfRule type="expression" dxfId="2946" priority="1755">
      <formula>$AC127=2</formula>
    </cfRule>
  </conditionalFormatting>
  <conditionalFormatting sqref="O126:O128">
    <cfRule type="expression" dxfId="2945" priority="1753">
      <formula>$AC126=2</formula>
    </cfRule>
  </conditionalFormatting>
  <conditionalFormatting sqref="V126:V128">
    <cfRule type="expression" dxfId="2944" priority="1752">
      <formula>$AC126=2</formula>
    </cfRule>
  </conditionalFormatting>
  <conditionalFormatting sqref="U127:U128">
    <cfRule type="expression" dxfId="2943" priority="1751">
      <formula>$AC127=2</formula>
    </cfRule>
  </conditionalFormatting>
  <conditionalFormatting sqref="U127:U128">
    <cfRule type="expression" dxfId="2942" priority="1750">
      <formula>U127&gt;F127</formula>
    </cfRule>
  </conditionalFormatting>
  <conditionalFormatting sqref="Q130:R133">
    <cfRule type="expression" dxfId="2941" priority="1744">
      <formula>$AE130=4</formula>
    </cfRule>
    <cfRule type="expression" dxfId="2940" priority="1745">
      <formula>$AE130=3</formula>
    </cfRule>
    <cfRule type="expression" dxfId="2939" priority="1746">
      <formula>$AE130=2</formula>
    </cfRule>
    <cfRule type="expression" dxfId="2938" priority="1747">
      <formula>$AE130=1</formula>
    </cfRule>
  </conditionalFormatting>
  <conditionalFormatting sqref="X130:Y133">
    <cfRule type="expression" dxfId="2937" priority="1740">
      <formula>$AF130=4</formula>
    </cfRule>
    <cfRule type="expression" dxfId="2936" priority="1741">
      <formula>$AF130=3</formula>
    </cfRule>
    <cfRule type="expression" dxfId="2935" priority="1742">
      <formula>$AF130=2</formula>
    </cfRule>
    <cfRule type="expression" dxfId="2934" priority="1743">
      <formula>$AF130=1</formula>
    </cfRule>
  </conditionalFormatting>
  <conditionalFormatting sqref="N131:N133">
    <cfRule type="expression" dxfId="2933" priority="1739">
      <formula>$AC131=2</formula>
    </cfRule>
  </conditionalFormatting>
  <conditionalFormatting sqref="N131:N133">
    <cfRule type="expression" dxfId="2932" priority="1738">
      <formula>N131&gt;F131</formula>
    </cfRule>
  </conditionalFormatting>
  <conditionalFormatting sqref="G131:G133">
    <cfRule type="expression" dxfId="2931" priority="1725">
      <formula>G131&gt;F131</formula>
    </cfRule>
  </conditionalFormatting>
  <conditionalFormatting sqref="J130:K131">
    <cfRule type="expression" dxfId="2930" priority="1729">
      <formula>$AD130=4</formula>
    </cfRule>
    <cfRule type="expression" dxfId="2929" priority="1730">
      <formula>$AD130=3</formula>
    </cfRule>
    <cfRule type="expression" dxfId="2928" priority="1731">
      <formula>$AD130=2</formula>
    </cfRule>
    <cfRule type="expression" dxfId="2927" priority="1732">
      <formula>$AD130=1</formula>
    </cfRule>
  </conditionalFormatting>
  <conditionalFormatting sqref="J130:K131">
    <cfRule type="expression" dxfId="2926" priority="1728">
      <formula>$AC130=2</formula>
    </cfRule>
  </conditionalFormatting>
  <conditionalFormatting sqref="L130:L133">
    <cfRule type="expression" dxfId="2925" priority="1727">
      <formula>$AC130=2</formula>
    </cfRule>
  </conditionalFormatting>
  <conditionalFormatting sqref="G131:G133">
    <cfRule type="expression" dxfId="2924" priority="1726">
      <formula>$AC131=2</formula>
    </cfRule>
  </conditionalFormatting>
  <conditionalFormatting sqref="O130:O133">
    <cfRule type="expression" dxfId="2923" priority="1724">
      <formula>$AC130=2</formula>
    </cfRule>
  </conditionalFormatting>
  <conditionalFormatting sqref="V130:V133">
    <cfRule type="expression" dxfId="2922" priority="1723">
      <formula>$AC130=2</formula>
    </cfRule>
  </conditionalFormatting>
  <conditionalFormatting sqref="U131:U133">
    <cfRule type="expression" dxfId="2921" priority="1722">
      <formula>$AC131=2</formula>
    </cfRule>
  </conditionalFormatting>
  <conditionalFormatting sqref="U131:U133">
    <cfRule type="expression" dxfId="2920" priority="1721">
      <formula>U131&gt;F131</formula>
    </cfRule>
  </conditionalFormatting>
  <conditionalFormatting sqref="Q137:R139">
    <cfRule type="expression" dxfId="2919" priority="1715">
      <formula>$AE137=4</formula>
    </cfRule>
    <cfRule type="expression" dxfId="2918" priority="1716">
      <formula>$AE137=3</formula>
    </cfRule>
    <cfRule type="expression" dxfId="2917" priority="1717">
      <formula>$AE137=2</formula>
    </cfRule>
    <cfRule type="expression" dxfId="2916" priority="1718">
      <formula>$AE137=1</formula>
    </cfRule>
  </conditionalFormatting>
  <conditionalFormatting sqref="X137:Y139">
    <cfRule type="expression" dxfId="2915" priority="1711">
      <formula>$AF137=4</formula>
    </cfRule>
    <cfRule type="expression" dxfId="2914" priority="1712">
      <formula>$AF137=3</formula>
    </cfRule>
    <cfRule type="expression" dxfId="2913" priority="1713">
      <formula>$AF137=2</formula>
    </cfRule>
    <cfRule type="expression" dxfId="2912" priority="1714">
      <formula>$AF137=1</formula>
    </cfRule>
  </conditionalFormatting>
  <conditionalFormatting sqref="N137:N139">
    <cfRule type="expression" dxfId="2911" priority="1710">
      <formula>$AC137=2</formula>
    </cfRule>
  </conditionalFormatting>
  <conditionalFormatting sqref="N137:N139">
    <cfRule type="expression" dxfId="2910" priority="1709">
      <formula>N137&gt;F137</formula>
    </cfRule>
  </conditionalFormatting>
  <conditionalFormatting sqref="G137:G139">
    <cfRule type="expression" dxfId="2909" priority="1696">
      <formula>G137&gt;F137</formula>
    </cfRule>
  </conditionalFormatting>
  <conditionalFormatting sqref="J137:K139">
    <cfRule type="expression" dxfId="2908" priority="1700">
      <formula>$AD137=4</formula>
    </cfRule>
    <cfRule type="expression" dxfId="2907" priority="1701">
      <formula>$AD137=3</formula>
    </cfRule>
    <cfRule type="expression" dxfId="2906" priority="1702">
      <formula>$AD137=2</formula>
    </cfRule>
    <cfRule type="expression" dxfId="2905" priority="1703">
      <formula>$AD137=1</formula>
    </cfRule>
  </conditionalFormatting>
  <conditionalFormatting sqref="J137:K139">
    <cfRule type="expression" dxfId="2904" priority="1699">
      <formula>$AC137=2</formula>
    </cfRule>
  </conditionalFormatting>
  <conditionalFormatting sqref="L137:L139">
    <cfRule type="expression" dxfId="2903" priority="1698">
      <formula>$AC137=2</formula>
    </cfRule>
  </conditionalFormatting>
  <conditionalFormatting sqref="G137:G139">
    <cfRule type="expression" dxfId="2902" priority="1697">
      <formula>$AC137=2</formula>
    </cfRule>
  </conditionalFormatting>
  <conditionalFormatting sqref="O137:O139">
    <cfRule type="expression" dxfId="2901" priority="1695">
      <formula>$AC137=2</formula>
    </cfRule>
  </conditionalFormatting>
  <conditionalFormatting sqref="V137:V139">
    <cfRule type="expression" dxfId="2900" priority="1694">
      <formula>$AC137=2</formula>
    </cfRule>
  </conditionalFormatting>
  <conditionalFormatting sqref="U137:U139">
    <cfRule type="expression" dxfId="2899" priority="1693">
      <formula>$AC137=2</formula>
    </cfRule>
  </conditionalFormatting>
  <conditionalFormatting sqref="U137:U139">
    <cfRule type="expression" dxfId="2898" priority="1692">
      <formula>U137&gt;F137</formula>
    </cfRule>
  </conditionalFormatting>
  <conditionalFormatting sqref="Q141:R143">
    <cfRule type="expression" dxfId="2897" priority="1686">
      <formula>$AE141=4</formula>
    </cfRule>
    <cfRule type="expression" dxfId="2896" priority="1687">
      <formula>$AE141=3</formula>
    </cfRule>
    <cfRule type="expression" dxfId="2895" priority="1688">
      <formula>$AE141=2</formula>
    </cfRule>
    <cfRule type="expression" dxfId="2894" priority="1689">
      <formula>$AE141=1</formula>
    </cfRule>
  </conditionalFormatting>
  <conditionalFormatting sqref="X141:Y143">
    <cfRule type="expression" dxfId="2893" priority="1682">
      <formula>$AF141=4</formula>
    </cfRule>
    <cfRule type="expression" dxfId="2892" priority="1683">
      <formula>$AF141=3</formula>
    </cfRule>
    <cfRule type="expression" dxfId="2891" priority="1684">
      <formula>$AF141=2</formula>
    </cfRule>
    <cfRule type="expression" dxfId="2890" priority="1685">
      <formula>$AF141=1</formula>
    </cfRule>
  </conditionalFormatting>
  <conditionalFormatting sqref="N141:N143">
    <cfRule type="expression" dxfId="2889" priority="1681">
      <formula>$AC141=2</formula>
    </cfRule>
  </conditionalFormatting>
  <conditionalFormatting sqref="N141:N143">
    <cfRule type="expression" dxfId="2888" priority="1680">
      <formula>N141&gt;F141</formula>
    </cfRule>
  </conditionalFormatting>
  <conditionalFormatting sqref="G141:G143">
    <cfRule type="expression" dxfId="2887" priority="1667">
      <formula>G141&gt;F141</formula>
    </cfRule>
  </conditionalFormatting>
  <conditionalFormatting sqref="J141:K143">
    <cfRule type="expression" dxfId="2886" priority="1671">
      <formula>$AD141=4</formula>
    </cfRule>
    <cfRule type="expression" dxfId="2885" priority="1672">
      <formula>$AD141=3</formula>
    </cfRule>
    <cfRule type="expression" dxfId="2884" priority="1673">
      <formula>$AD141=2</formula>
    </cfRule>
    <cfRule type="expression" dxfId="2883" priority="1674">
      <formula>$AD141=1</formula>
    </cfRule>
  </conditionalFormatting>
  <conditionalFormatting sqref="J141:K143">
    <cfRule type="expression" dxfId="2882" priority="1670">
      <formula>$AC141=2</formula>
    </cfRule>
  </conditionalFormatting>
  <conditionalFormatting sqref="L141:L143">
    <cfRule type="expression" dxfId="2881" priority="1669">
      <formula>$AC141=2</formula>
    </cfRule>
  </conditionalFormatting>
  <conditionalFormatting sqref="G141:G143">
    <cfRule type="expression" dxfId="2880" priority="1668">
      <formula>$AC141=2</formula>
    </cfRule>
  </conditionalFormatting>
  <conditionalFormatting sqref="O141:O143">
    <cfRule type="expression" dxfId="2879" priority="1666">
      <formula>$AC141=2</formula>
    </cfRule>
  </conditionalFormatting>
  <conditionalFormatting sqref="V141:V143">
    <cfRule type="expression" dxfId="2878" priority="1665">
      <formula>$AC141=2</formula>
    </cfRule>
  </conditionalFormatting>
  <conditionalFormatting sqref="U141:U143">
    <cfRule type="expression" dxfId="2877" priority="1664">
      <formula>$AC141=2</formula>
    </cfRule>
  </conditionalFormatting>
  <conditionalFormatting sqref="U141:U143">
    <cfRule type="expression" dxfId="2876" priority="1663">
      <formula>U141&gt;F141</formula>
    </cfRule>
  </conditionalFormatting>
  <conditionalFormatting sqref="Q149:R151">
    <cfRule type="expression" dxfId="2875" priority="1657">
      <formula>$AE149=4</formula>
    </cfRule>
    <cfRule type="expression" dxfId="2874" priority="1658">
      <formula>$AE149=3</formula>
    </cfRule>
    <cfRule type="expression" dxfId="2873" priority="1659">
      <formula>$AE149=2</formula>
    </cfRule>
    <cfRule type="expression" dxfId="2872" priority="1660">
      <formula>$AE149=1</formula>
    </cfRule>
  </conditionalFormatting>
  <conditionalFormatting sqref="X149:Y151">
    <cfRule type="expression" dxfId="2871" priority="1653">
      <formula>$AF149=4</formula>
    </cfRule>
    <cfRule type="expression" dxfId="2870" priority="1654">
      <formula>$AF149=3</formula>
    </cfRule>
    <cfRule type="expression" dxfId="2869" priority="1655">
      <formula>$AF149=2</formula>
    </cfRule>
    <cfRule type="expression" dxfId="2868" priority="1656">
      <formula>$AF149=1</formula>
    </cfRule>
  </conditionalFormatting>
  <conditionalFormatting sqref="N149:N151">
    <cfRule type="expression" dxfId="2867" priority="1652">
      <formula>$AC149=2</formula>
    </cfRule>
  </conditionalFormatting>
  <conditionalFormatting sqref="N149:N151">
    <cfRule type="expression" dxfId="2866" priority="1651">
      <formula>N149&gt;F149</formula>
    </cfRule>
  </conditionalFormatting>
  <conditionalFormatting sqref="G149:G151">
    <cfRule type="expression" dxfId="2865" priority="1638">
      <formula>G149&gt;F149</formula>
    </cfRule>
  </conditionalFormatting>
  <conditionalFormatting sqref="J149:K151">
    <cfRule type="expression" dxfId="2864" priority="1642">
      <formula>$AD149=4</formula>
    </cfRule>
    <cfRule type="expression" dxfId="2863" priority="1643">
      <formula>$AD149=3</formula>
    </cfRule>
    <cfRule type="expression" dxfId="2862" priority="1644">
      <formula>$AD149=2</formula>
    </cfRule>
    <cfRule type="expression" dxfId="2861" priority="1645">
      <formula>$AD149=1</formula>
    </cfRule>
  </conditionalFormatting>
  <conditionalFormatting sqref="J149:K151">
    <cfRule type="expression" dxfId="2860" priority="1641">
      <formula>$AC149=2</formula>
    </cfRule>
  </conditionalFormatting>
  <conditionalFormatting sqref="L149:L152">
    <cfRule type="expression" dxfId="2859" priority="1640">
      <formula>$AC149=2</formula>
    </cfRule>
  </conditionalFormatting>
  <conditionalFormatting sqref="G149:G151">
    <cfRule type="expression" dxfId="2858" priority="1639">
      <formula>$AC149=2</formula>
    </cfRule>
  </conditionalFormatting>
  <conditionalFormatting sqref="O149:O151">
    <cfRule type="expression" dxfId="2857" priority="1637">
      <formula>$AC149=2</formula>
    </cfRule>
  </conditionalFormatting>
  <conditionalFormatting sqref="V149:V151">
    <cfRule type="expression" dxfId="2856" priority="1636">
      <formula>$AC149=2</formula>
    </cfRule>
  </conditionalFormatting>
  <conditionalFormatting sqref="U149:U151">
    <cfRule type="expression" dxfId="2855" priority="1635">
      <formula>$AC149=2</formula>
    </cfRule>
  </conditionalFormatting>
  <conditionalFormatting sqref="U149:U151">
    <cfRule type="expression" dxfId="2854" priority="1634">
      <formula>U149&gt;F149</formula>
    </cfRule>
  </conditionalFormatting>
  <conditionalFormatting sqref="Q154:R154">
    <cfRule type="expression" dxfId="2853" priority="1628">
      <formula>$AE154=4</formula>
    </cfRule>
    <cfRule type="expression" dxfId="2852" priority="1629">
      <formula>$AE154=3</formula>
    </cfRule>
    <cfRule type="expression" dxfId="2851" priority="1630">
      <formula>$AE154=2</formula>
    </cfRule>
    <cfRule type="expression" dxfId="2850" priority="1631">
      <formula>$AE154=1</formula>
    </cfRule>
  </conditionalFormatting>
  <conditionalFormatting sqref="X154:Y154">
    <cfRule type="expression" dxfId="2849" priority="1624">
      <formula>$AF154=4</formula>
    </cfRule>
    <cfRule type="expression" dxfId="2848" priority="1625">
      <formula>$AF154=3</formula>
    </cfRule>
    <cfRule type="expression" dxfId="2847" priority="1626">
      <formula>$AF154=2</formula>
    </cfRule>
    <cfRule type="expression" dxfId="2846" priority="1627">
      <formula>$AF154=1</formula>
    </cfRule>
  </conditionalFormatting>
  <conditionalFormatting sqref="N154">
    <cfRule type="expression" dxfId="2845" priority="1623">
      <formula>$AC154=2</formula>
    </cfRule>
  </conditionalFormatting>
  <conditionalFormatting sqref="N154">
    <cfRule type="expression" dxfId="2844" priority="1622">
      <formula>N154&gt;F154</formula>
    </cfRule>
  </conditionalFormatting>
  <conditionalFormatting sqref="G154">
    <cfRule type="expression" dxfId="2843" priority="1609">
      <formula>G154&gt;F154</formula>
    </cfRule>
  </conditionalFormatting>
  <conditionalFormatting sqref="J154:K154">
    <cfRule type="expression" dxfId="2842" priority="1613">
      <formula>$AD154=4</formula>
    </cfRule>
    <cfRule type="expression" dxfId="2841" priority="1614">
      <formula>$AD154=3</formula>
    </cfRule>
    <cfRule type="expression" dxfId="2840" priority="1615">
      <formula>$AD154=2</formula>
    </cfRule>
    <cfRule type="expression" dxfId="2839" priority="1616">
      <formula>$AD154=1</formula>
    </cfRule>
  </conditionalFormatting>
  <conditionalFormatting sqref="J154:K154">
    <cfRule type="expression" dxfId="2838" priority="1612">
      <formula>$AC154=2</formula>
    </cfRule>
  </conditionalFormatting>
  <conditionalFormatting sqref="L154">
    <cfRule type="expression" dxfId="2837" priority="1611">
      <formula>$AC154=2</formula>
    </cfRule>
  </conditionalFormatting>
  <conditionalFormatting sqref="G154">
    <cfRule type="expression" dxfId="2836" priority="1610">
      <formula>$AC154=2</formula>
    </cfRule>
  </conditionalFormatting>
  <conditionalFormatting sqref="O154">
    <cfRule type="expression" dxfId="2835" priority="1608">
      <formula>$AC154=2</formula>
    </cfRule>
  </conditionalFormatting>
  <conditionalFormatting sqref="V154">
    <cfRule type="expression" dxfId="2834" priority="1607">
      <formula>$AC154=2</formula>
    </cfRule>
  </conditionalFormatting>
  <conditionalFormatting sqref="U154">
    <cfRule type="expression" dxfId="2833" priority="1606">
      <formula>$AC154=2</formula>
    </cfRule>
  </conditionalFormatting>
  <conditionalFormatting sqref="U154">
    <cfRule type="expression" dxfId="2832" priority="1605">
      <formula>U154&gt;F154</formula>
    </cfRule>
  </conditionalFormatting>
  <conditionalFormatting sqref="Q156:R156">
    <cfRule type="expression" dxfId="2831" priority="1599">
      <formula>$AE156=4</formula>
    </cfRule>
    <cfRule type="expression" dxfId="2830" priority="1600">
      <formula>$AE156=3</formula>
    </cfRule>
    <cfRule type="expression" dxfId="2829" priority="1601">
      <formula>$AE156=2</formula>
    </cfRule>
    <cfRule type="expression" dxfId="2828" priority="1602">
      <formula>$AE156=1</formula>
    </cfRule>
  </conditionalFormatting>
  <conditionalFormatting sqref="X156:Y156">
    <cfRule type="expression" dxfId="2827" priority="1595">
      <formula>$AF156=4</formula>
    </cfRule>
    <cfRule type="expression" dxfId="2826" priority="1596">
      <formula>$AF156=3</formula>
    </cfRule>
    <cfRule type="expression" dxfId="2825" priority="1597">
      <formula>$AF156=2</formula>
    </cfRule>
    <cfRule type="expression" dxfId="2824" priority="1598">
      <formula>$AF156=1</formula>
    </cfRule>
  </conditionalFormatting>
  <conditionalFormatting sqref="N156">
    <cfRule type="expression" dxfId="2823" priority="1594">
      <formula>$AC156=2</formula>
    </cfRule>
  </conditionalFormatting>
  <conditionalFormatting sqref="N156">
    <cfRule type="expression" dxfId="2822" priority="1593">
      <formula>N156&gt;F156</formula>
    </cfRule>
  </conditionalFormatting>
  <conditionalFormatting sqref="G156">
    <cfRule type="expression" dxfId="2821" priority="1580">
      <formula>G156&gt;F156</formula>
    </cfRule>
  </conditionalFormatting>
  <conditionalFormatting sqref="J156:K156">
    <cfRule type="expression" dxfId="2820" priority="1584">
      <formula>$AD156=4</formula>
    </cfRule>
    <cfRule type="expression" dxfId="2819" priority="1585">
      <formula>$AD156=3</formula>
    </cfRule>
    <cfRule type="expression" dxfId="2818" priority="1586">
      <formula>$AD156=2</formula>
    </cfRule>
    <cfRule type="expression" dxfId="2817" priority="1587">
      <formula>$AD156=1</formula>
    </cfRule>
  </conditionalFormatting>
  <conditionalFormatting sqref="J156:K156">
    <cfRule type="expression" dxfId="2816" priority="1583">
      <formula>$AC156=2</formula>
    </cfRule>
  </conditionalFormatting>
  <conditionalFormatting sqref="L156">
    <cfRule type="expression" dxfId="2815" priority="1582">
      <formula>$AC156=2</formula>
    </cfRule>
  </conditionalFormatting>
  <conditionalFormatting sqref="G156">
    <cfRule type="expression" dxfId="2814" priority="1581">
      <formula>$AC156=2</formula>
    </cfRule>
  </conditionalFormatting>
  <conditionalFormatting sqref="O156">
    <cfRule type="expression" dxfId="2813" priority="1579">
      <formula>$AC156=2</formula>
    </cfRule>
  </conditionalFormatting>
  <conditionalFormatting sqref="V156">
    <cfRule type="expression" dxfId="2812" priority="1578">
      <formula>$AC156=2</formula>
    </cfRule>
  </conditionalFormatting>
  <conditionalFormatting sqref="U156">
    <cfRule type="expression" dxfId="2811" priority="1577">
      <formula>$AC156=2</formula>
    </cfRule>
  </conditionalFormatting>
  <conditionalFormatting sqref="U156">
    <cfRule type="expression" dxfId="2810" priority="1576">
      <formula>U156&gt;F156</formula>
    </cfRule>
  </conditionalFormatting>
  <conditionalFormatting sqref="Q158:R158">
    <cfRule type="expression" dxfId="2809" priority="1570">
      <formula>$AE158=4</formula>
    </cfRule>
    <cfRule type="expression" dxfId="2808" priority="1571">
      <formula>$AE158=3</formula>
    </cfRule>
    <cfRule type="expression" dxfId="2807" priority="1572">
      <formula>$AE158=2</formula>
    </cfRule>
    <cfRule type="expression" dxfId="2806" priority="1573">
      <formula>$AE158=1</formula>
    </cfRule>
  </conditionalFormatting>
  <conditionalFormatting sqref="X158:Y158">
    <cfRule type="expression" dxfId="2805" priority="1566">
      <formula>$AF158=4</formula>
    </cfRule>
    <cfRule type="expression" dxfId="2804" priority="1567">
      <formula>$AF158=3</formula>
    </cfRule>
    <cfRule type="expression" dxfId="2803" priority="1568">
      <formula>$AF158=2</formula>
    </cfRule>
    <cfRule type="expression" dxfId="2802" priority="1569">
      <formula>$AF158=1</formula>
    </cfRule>
  </conditionalFormatting>
  <conditionalFormatting sqref="N158">
    <cfRule type="expression" dxfId="2801" priority="1565">
      <formula>$AC158=2</formula>
    </cfRule>
  </conditionalFormatting>
  <conditionalFormatting sqref="N158">
    <cfRule type="expression" dxfId="2800" priority="1564">
      <formula>N158&gt;F158</formula>
    </cfRule>
  </conditionalFormatting>
  <conditionalFormatting sqref="G158">
    <cfRule type="expression" dxfId="2799" priority="1551">
      <formula>G158&gt;F158</formula>
    </cfRule>
  </conditionalFormatting>
  <conditionalFormatting sqref="J158:K158">
    <cfRule type="expression" dxfId="2798" priority="1555">
      <formula>$AD158=4</formula>
    </cfRule>
    <cfRule type="expression" dxfId="2797" priority="1556">
      <formula>$AD158=3</formula>
    </cfRule>
    <cfRule type="expression" dxfId="2796" priority="1557">
      <formula>$AD158=2</formula>
    </cfRule>
    <cfRule type="expression" dxfId="2795" priority="1558">
      <formula>$AD158=1</formula>
    </cfRule>
  </conditionalFormatting>
  <conditionalFormatting sqref="J158:K158">
    <cfRule type="expression" dxfId="2794" priority="1554">
      <formula>$AC158=2</formula>
    </cfRule>
  </conditionalFormatting>
  <conditionalFormatting sqref="L158">
    <cfRule type="expression" dxfId="2793" priority="1553">
      <formula>$AC158=2</formula>
    </cfRule>
  </conditionalFormatting>
  <conditionalFormatting sqref="G158">
    <cfRule type="expression" dxfId="2792" priority="1552">
      <formula>$AC158=2</formula>
    </cfRule>
  </conditionalFormatting>
  <conditionalFormatting sqref="O158">
    <cfRule type="expression" dxfId="2791" priority="1550">
      <formula>$AC158=2</formula>
    </cfRule>
  </conditionalFormatting>
  <conditionalFormatting sqref="V158">
    <cfRule type="expression" dxfId="2790" priority="1549">
      <formula>$AC158=2</formula>
    </cfRule>
  </conditionalFormatting>
  <conditionalFormatting sqref="U158">
    <cfRule type="expression" dxfId="2789" priority="1548">
      <formula>$AC158=2</formula>
    </cfRule>
  </conditionalFormatting>
  <conditionalFormatting sqref="U158">
    <cfRule type="expression" dxfId="2788" priority="1547">
      <formula>U158&gt;F158</formula>
    </cfRule>
  </conditionalFormatting>
  <conditionalFormatting sqref="Q163:R163 R164">
    <cfRule type="expression" dxfId="2787" priority="1541">
      <formula>$AE163=4</formula>
    </cfRule>
    <cfRule type="expression" dxfId="2786" priority="1542">
      <formula>$AE163=3</formula>
    </cfRule>
    <cfRule type="expression" dxfId="2785" priority="1543">
      <formula>$AE163=2</formula>
    </cfRule>
    <cfRule type="expression" dxfId="2784" priority="1544">
      <formula>$AE163=1</formula>
    </cfRule>
  </conditionalFormatting>
  <conditionalFormatting sqref="X163:Y163">
    <cfRule type="expression" dxfId="2783" priority="1537">
      <formula>$AF163=4</formula>
    </cfRule>
    <cfRule type="expression" dxfId="2782" priority="1538">
      <formula>$AF163=3</formula>
    </cfRule>
    <cfRule type="expression" dxfId="2781" priority="1539">
      <formula>$AF163=2</formula>
    </cfRule>
    <cfRule type="expression" dxfId="2780" priority="1540">
      <formula>$AF163=1</formula>
    </cfRule>
  </conditionalFormatting>
  <conditionalFormatting sqref="N163">
    <cfRule type="expression" dxfId="2779" priority="1536">
      <formula>$AC163=2</formula>
    </cfRule>
  </conditionalFormatting>
  <conditionalFormatting sqref="N163">
    <cfRule type="expression" dxfId="2778" priority="1535">
      <formula>N163&gt;F163</formula>
    </cfRule>
  </conditionalFormatting>
  <conditionalFormatting sqref="G163">
    <cfRule type="expression" dxfId="2777" priority="1522">
      <formula>G163&gt;F163</formula>
    </cfRule>
  </conditionalFormatting>
  <conditionalFormatting sqref="J163:K163 K164">
    <cfRule type="expression" dxfId="2776" priority="1526">
      <formula>$AD163=4</formula>
    </cfRule>
    <cfRule type="expression" dxfId="2775" priority="1527">
      <formula>$AD163=3</formula>
    </cfRule>
    <cfRule type="expression" dxfId="2774" priority="1528">
      <formula>$AD163=2</formula>
    </cfRule>
    <cfRule type="expression" dxfId="2773" priority="1529">
      <formula>$AD163=1</formula>
    </cfRule>
  </conditionalFormatting>
  <conditionalFormatting sqref="J163:K163 K164">
    <cfRule type="expression" dxfId="2772" priority="1525">
      <formula>$AC163=2</formula>
    </cfRule>
  </conditionalFormatting>
  <conditionalFormatting sqref="L163:L164">
    <cfRule type="expression" dxfId="2771" priority="1524">
      <formula>$AC163=2</formula>
    </cfRule>
  </conditionalFormatting>
  <conditionalFormatting sqref="G163">
    <cfRule type="expression" dxfId="2770" priority="1523">
      <formula>$AC163=2</formula>
    </cfRule>
  </conditionalFormatting>
  <conditionalFormatting sqref="O163">
    <cfRule type="expression" dxfId="2769" priority="1521">
      <formula>$AC163=2</formula>
    </cfRule>
  </conditionalFormatting>
  <conditionalFormatting sqref="V163">
    <cfRule type="expression" dxfId="2768" priority="1520">
      <formula>$AC163=2</formula>
    </cfRule>
  </conditionalFormatting>
  <conditionalFormatting sqref="U163">
    <cfRule type="expression" dxfId="2767" priority="1519">
      <formula>$AC163=2</formula>
    </cfRule>
  </conditionalFormatting>
  <conditionalFormatting sqref="U163">
    <cfRule type="expression" dxfId="2766" priority="1518">
      <formula>U163&gt;F163</formula>
    </cfRule>
  </conditionalFormatting>
  <conditionalFormatting sqref="Q166:R168">
    <cfRule type="expression" dxfId="2765" priority="1512">
      <formula>$AE166=4</formula>
    </cfRule>
    <cfRule type="expression" dxfId="2764" priority="1513">
      <formula>$AE166=3</formula>
    </cfRule>
    <cfRule type="expression" dxfId="2763" priority="1514">
      <formula>$AE166=2</formula>
    </cfRule>
    <cfRule type="expression" dxfId="2762" priority="1515">
      <formula>$AE166=1</formula>
    </cfRule>
  </conditionalFormatting>
  <conditionalFormatting sqref="X166:Y168">
    <cfRule type="expression" dxfId="2761" priority="1508">
      <formula>$AF166=4</formula>
    </cfRule>
    <cfRule type="expression" dxfId="2760" priority="1509">
      <formula>$AF166=3</formula>
    </cfRule>
    <cfRule type="expression" dxfId="2759" priority="1510">
      <formula>$AF166=2</formula>
    </cfRule>
    <cfRule type="expression" dxfId="2758" priority="1511">
      <formula>$AF166=1</formula>
    </cfRule>
  </conditionalFormatting>
  <conditionalFormatting sqref="N167:N168">
    <cfRule type="expression" dxfId="2757" priority="1507">
      <formula>$AC167=2</formula>
    </cfRule>
  </conditionalFormatting>
  <conditionalFormatting sqref="N167:N168">
    <cfRule type="expression" dxfId="2756" priority="1506">
      <formula>N167&gt;F167</formula>
    </cfRule>
  </conditionalFormatting>
  <conditionalFormatting sqref="G167:G168">
    <cfRule type="expression" dxfId="2755" priority="1493">
      <formula>G167&gt;F167</formula>
    </cfRule>
  </conditionalFormatting>
  <conditionalFormatting sqref="J166:K168">
    <cfRule type="expression" dxfId="2754" priority="1497">
      <formula>$AD166=4</formula>
    </cfRule>
    <cfRule type="expression" dxfId="2753" priority="1498">
      <formula>$AD166=3</formula>
    </cfRule>
    <cfRule type="expression" dxfId="2752" priority="1499">
      <formula>$AD166=2</formula>
    </cfRule>
    <cfRule type="expression" dxfId="2751" priority="1500">
      <formula>$AD166=1</formula>
    </cfRule>
  </conditionalFormatting>
  <conditionalFormatting sqref="J166:K168">
    <cfRule type="expression" dxfId="2750" priority="1496">
      <formula>$AC166=2</formula>
    </cfRule>
  </conditionalFormatting>
  <conditionalFormatting sqref="L166:L168">
    <cfRule type="expression" dxfId="2749" priority="1495">
      <formula>$AC166=2</formula>
    </cfRule>
  </conditionalFormatting>
  <conditionalFormatting sqref="G167:G168">
    <cfRule type="expression" dxfId="2748" priority="1494">
      <formula>$AC167=2</formula>
    </cfRule>
  </conditionalFormatting>
  <conditionalFormatting sqref="O166:O168">
    <cfRule type="expression" dxfId="2747" priority="1492">
      <formula>$AC166=2</formula>
    </cfRule>
  </conditionalFormatting>
  <conditionalFormatting sqref="V166:V168">
    <cfRule type="expression" dxfId="2746" priority="1491">
      <formula>$AC166=2</formula>
    </cfRule>
  </conditionalFormatting>
  <conditionalFormatting sqref="U167:U168">
    <cfRule type="expression" dxfId="2745" priority="1490">
      <formula>$AC167=2</formula>
    </cfRule>
  </conditionalFormatting>
  <conditionalFormatting sqref="U167:U168">
    <cfRule type="expression" dxfId="2744" priority="1489">
      <formula>U167&gt;F167</formula>
    </cfRule>
  </conditionalFormatting>
  <conditionalFormatting sqref="N170:N171">
    <cfRule type="expression" dxfId="2743" priority="1478">
      <formula>$AC170=2</formula>
    </cfRule>
  </conditionalFormatting>
  <conditionalFormatting sqref="N170:N171">
    <cfRule type="expression" dxfId="2742" priority="1477">
      <formula>N170&gt;F170</formula>
    </cfRule>
  </conditionalFormatting>
  <conditionalFormatting sqref="G170:G171">
    <cfRule type="expression" dxfId="2741" priority="1464">
      <formula>G170&gt;F170</formula>
    </cfRule>
  </conditionalFormatting>
  <conditionalFormatting sqref="G170:G171">
    <cfRule type="expression" dxfId="2740" priority="1465">
      <formula>$AC170=2</formula>
    </cfRule>
  </conditionalFormatting>
  <conditionalFormatting sqref="U170:U171">
    <cfRule type="expression" dxfId="2739" priority="1461">
      <formula>$AC170=2</formula>
    </cfRule>
  </conditionalFormatting>
  <conditionalFormatting sqref="U170:U171">
    <cfRule type="expression" dxfId="2738" priority="1460">
      <formula>U170&gt;F170</formula>
    </cfRule>
  </conditionalFormatting>
  <conditionalFormatting sqref="Q173:R175">
    <cfRule type="expression" dxfId="2737" priority="1454">
      <formula>$AE173=4</formula>
    </cfRule>
    <cfRule type="expression" dxfId="2736" priority="1455">
      <formula>$AE173=3</formula>
    </cfRule>
    <cfRule type="expression" dxfId="2735" priority="1456">
      <formula>$AE173=2</formula>
    </cfRule>
    <cfRule type="expression" dxfId="2734" priority="1457">
      <formula>$AE173=1</formula>
    </cfRule>
  </conditionalFormatting>
  <conditionalFormatting sqref="X173:Y175">
    <cfRule type="expression" dxfId="2733" priority="1450">
      <formula>$AF173=4</formula>
    </cfRule>
    <cfRule type="expression" dxfId="2732" priority="1451">
      <formula>$AF173=3</formula>
    </cfRule>
    <cfRule type="expression" dxfId="2731" priority="1452">
      <formula>$AF173=2</formula>
    </cfRule>
    <cfRule type="expression" dxfId="2730" priority="1453">
      <formula>$AF173=1</formula>
    </cfRule>
  </conditionalFormatting>
  <conditionalFormatting sqref="N174:N175">
    <cfRule type="expression" dxfId="2729" priority="1449">
      <formula>$AC174=2</formula>
    </cfRule>
  </conditionalFormatting>
  <conditionalFormatting sqref="N174:N175">
    <cfRule type="expression" dxfId="2728" priority="1448">
      <formula>N174&gt;F174</formula>
    </cfRule>
  </conditionalFormatting>
  <conditionalFormatting sqref="G174:G175">
    <cfRule type="expression" dxfId="2727" priority="1435">
      <formula>G174&gt;F174</formula>
    </cfRule>
  </conditionalFormatting>
  <conditionalFormatting sqref="J173:K175">
    <cfRule type="expression" dxfId="2726" priority="1439">
      <formula>$AD173=4</formula>
    </cfRule>
    <cfRule type="expression" dxfId="2725" priority="1440">
      <formula>$AD173=3</formula>
    </cfRule>
    <cfRule type="expression" dxfId="2724" priority="1441">
      <formula>$AD173=2</formula>
    </cfRule>
    <cfRule type="expression" dxfId="2723" priority="1442">
      <formula>$AD173=1</formula>
    </cfRule>
  </conditionalFormatting>
  <conditionalFormatting sqref="J173:K175">
    <cfRule type="expression" dxfId="2722" priority="1438">
      <formula>$AC173=2</formula>
    </cfRule>
  </conditionalFormatting>
  <conditionalFormatting sqref="L173:L175">
    <cfRule type="expression" dxfId="2721" priority="1437">
      <formula>$AC173=2</formula>
    </cfRule>
  </conditionalFormatting>
  <conditionalFormatting sqref="G174:G175">
    <cfRule type="expression" dxfId="2720" priority="1436">
      <formula>$AC174=2</formula>
    </cfRule>
  </conditionalFormatting>
  <conditionalFormatting sqref="O173:O175">
    <cfRule type="expression" dxfId="2719" priority="1434">
      <formula>$AC173=2</formula>
    </cfRule>
  </conditionalFormatting>
  <conditionalFormatting sqref="V173:V175">
    <cfRule type="expression" dxfId="2718" priority="1433">
      <formula>$AC173=2</formula>
    </cfRule>
  </conditionalFormatting>
  <conditionalFormatting sqref="U174:U175">
    <cfRule type="expression" dxfId="2717" priority="1432">
      <formula>$AC174=2</formula>
    </cfRule>
  </conditionalFormatting>
  <conditionalFormatting sqref="U174:U175">
    <cfRule type="expression" dxfId="2716" priority="1431">
      <formula>U174&gt;F174</formula>
    </cfRule>
  </conditionalFormatting>
  <conditionalFormatting sqref="Q177:R179">
    <cfRule type="expression" dxfId="2715" priority="1425">
      <formula>$AE177=4</formula>
    </cfRule>
    <cfRule type="expression" dxfId="2714" priority="1426">
      <formula>$AE177=3</formula>
    </cfRule>
    <cfRule type="expression" dxfId="2713" priority="1427">
      <formula>$AE177=2</formula>
    </cfRule>
    <cfRule type="expression" dxfId="2712" priority="1428">
      <formula>$AE177=1</formula>
    </cfRule>
  </conditionalFormatting>
  <conditionalFormatting sqref="X177:Y179">
    <cfRule type="expression" dxfId="2711" priority="1421">
      <formula>$AF177=4</formula>
    </cfRule>
    <cfRule type="expression" dxfId="2710" priority="1422">
      <formula>$AF177=3</formula>
    </cfRule>
    <cfRule type="expression" dxfId="2709" priority="1423">
      <formula>$AF177=2</formula>
    </cfRule>
    <cfRule type="expression" dxfId="2708" priority="1424">
      <formula>$AF177=1</formula>
    </cfRule>
  </conditionalFormatting>
  <conditionalFormatting sqref="N178:N179">
    <cfRule type="expression" dxfId="2707" priority="1420">
      <formula>$AC178=2</formula>
    </cfRule>
  </conditionalFormatting>
  <conditionalFormatting sqref="N178:N179">
    <cfRule type="expression" dxfId="2706" priority="1419">
      <formula>N178&gt;F178</formula>
    </cfRule>
  </conditionalFormatting>
  <conditionalFormatting sqref="G178:G179">
    <cfRule type="expression" dxfId="2705" priority="1406">
      <formula>G178&gt;F178</formula>
    </cfRule>
  </conditionalFormatting>
  <conditionalFormatting sqref="J177:K179">
    <cfRule type="expression" dxfId="2704" priority="1410">
      <formula>$AD177=4</formula>
    </cfRule>
    <cfRule type="expression" dxfId="2703" priority="1411">
      <formula>$AD177=3</formula>
    </cfRule>
    <cfRule type="expression" dxfId="2702" priority="1412">
      <formula>$AD177=2</formula>
    </cfRule>
    <cfRule type="expression" dxfId="2701" priority="1413">
      <formula>$AD177=1</formula>
    </cfRule>
  </conditionalFormatting>
  <conditionalFormatting sqref="J177:K179">
    <cfRule type="expression" dxfId="2700" priority="1409">
      <formula>$AC177=2</formula>
    </cfRule>
  </conditionalFormatting>
  <conditionalFormatting sqref="L177:L179">
    <cfRule type="expression" dxfId="2699" priority="1408">
      <formula>$AC177=2</formula>
    </cfRule>
  </conditionalFormatting>
  <conditionalFormatting sqref="G178:G179">
    <cfRule type="expression" dxfId="2698" priority="1407">
      <formula>$AC178=2</formula>
    </cfRule>
  </conditionalFormatting>
  <conditionalFormatting sqref="O177:O179">
    <cfRule type="expression" dxfId="2697" priority="1405">
      <formula>$AC177=2</formula>
    </cfRule>
  </conditionalFormatting>
  <conditionalFormatting sqref="V177:V179">
    <cfRule type="expression" dxfId="2696" priority="1404">
      <formula>$AC177=2</formula>
    </cfRule>
  </conditionalFormatting>
  <conditionalFormatting sqref="U178:U179">
    <cfRule type="expression" dxfId="2695" priority="1403">
      <formula>$AC178=2</formula>
    </cfRule>
  </conditionalFormatting>
  <conditionalFormatting sqref="U178:U179">
    <cfRule type="expression" dxfId="2694" priority="1402">
      <formula>U178&gt;F178</formula>
    </cfRule>
  </conditionalFormatting>
  <conditionalFormatting sqref="Q181:R181">
    <cfRule type="expression" dxfId="2693" priority="1396">
      <formula>$AE181=4</formula>
    </cfRule>
    <cfRule type="expression" dxfId="2692" priority="1397">
      <formula>$AE181=3</formula>
    </cfRule>
    <cfRule type="expression" dxfId="2691" priority="1398">
      <formula>$AE181=2</formula>
    </cfRule>
    <cfRule type="expression" dxfId="2690" priority="1399">
      <formula>$AE181=1</formula>
    </cfRule>
  </conditionalFormatting>
  <conditionalFormatting sqref="X181:Y181">
    <cfRule type="expression" dxfId="2689" priority="1392">
      <formula>$AF181=4</formula>
    </cfRule>
    <cfRule type="expression" dxfId="2688" priority="1393">
      <formula>$AF181=3</formula>
    </cfRule>
    <cfRule type="expression" dxfId="2687" priority="1394">
      <formula>$AF181=2</formula>
    </cfRule>
    <cfRule type="expression" dxfId="2686" priority="1395">
      <formula>$AF181=1</formula>
    </cfRule>
  </conditionalFormatting>
  <conditionalFormatting sqref="N181">
    <cfRule type="expression" dxfId="2685" priority="1391">
      <formula>$AC181=2</formula>
    </cfRule>
  </conditionalFormatting>
  <conditionalFormatting sqref="N181">
    <cfRule type="expression" dxfId="2684" priority="1390">
      <formula>N181&gt;F181</formula>
    </cfRule>
  </conditionalFormatting>
  <conditionalFormatting sqref="G181">
    <cfRule type="expression" dxfId="2683" priority="1377">
      <formula>G181&gt;F181</formula>
    </cfRule>
  </conditionalFormatting>
  <conditionalFormatting sqref="J181:K181">
    <cfRule type="expression" dxfId="2682" priority="1381">
      <formula>$AD181=4</formula>
    </cfRule>
    <cfRule type="expression" dxfId="2681" priority="1382">
      <formula>$AD181=3</formula>
    </cfRule>
    <cfRule type="expression" dxfId="2680" priority="1383">
      <formula>$AD181=2</formula>
    </cfRule>
    <cfRule type="expression" dxfId="2679" priority="1384">
      <formula>$AD181=1</formula>
    </cfRule>
  </conditionalFormatting>
  <conditionalFormatting sqref="J181:K181">
    <cfRule type="expression" dxfId="2678" priority="1380">
      <formula>$AC181=2</formula>
    </cfRule>
  </conditionalFormatting>
  <conditionalFormatting sqref="L181">
    <cfRule type="expression" dxfId="2677" priority="1379">
      <formula>$AC181=2</formula>
    </cfRule>
  </conditionalFormatting>
  <conditionalFormatting sqref="G181">
    <cfRule type="expression" dxfId="2676" priority="1378">
      <formula>$AC181=2</formula>
    </cfRule>
  </conditionalFormatting>
  <conditionalFormatting sqref="O181">
    <cfRule type="expression" dxfId="2675" priority="1376">
      <formula>$AC181=2</formula>
    </cfRule>
  </conditionalFormatting>
  <conditionalFormatting sqref="V181">
    <cfRule type="expression" dxfId="2674" priority="1375">
      <formula>$AC181=2</formula>
    </cfRule>
  </conditionalFormatting>
  <conditionalFormatting sqref="U181">
    <cfRule type="expression" dxfId="2673" priority="1374">
      <formula>$AC181=2</formula>
    </cfRule>
  </conditionalFormatting>
  <conditionalFormatting sqref="U181">
    <cfRule type="expression" dxfId="2672" priority="1373">
      <formula>U181&gt;F181</formula>
    </cfRule>
  </conditionalFormatting>
  <conditionalFormatting sqref="Q183:R184">
    <cfRule type="expression" dxfId="2671" priority="1367">
      <formula>$AE183=4</formula>
    </cfRule>
    <cfRule type="expression" dxfId="2670" priority="1368">
      <formula>$AE183=3</formula>
    </cfRule>
    <cfRule type="expression" dxfId="2669" priority="1369">
      <formula>$AE183=2</formula>
    </cfRule>
    <cfRule type="expression" dxfId="2668" priority="1370">
      <formula>$AE183=1</formula>
    </cfRule>
  </conditionalFormatting>
  <conditionalFormatting sqref="X183:Y184">
    <cfRule type="expression" dxfId="2667" priority="1363">
      <formula>$AF183=4</formula>
    </cfRule>
    <cfRule type="expression" dxfId="2666" priority="1364">
      <formula>$AF183=3</formula>
    </cfRule>
    <cfRule type="expression" dxfId="2665" priority="1365">
      <formula>$AF183=2</formula>
    </cfRule>
    <cfRule type="expression" dxfId="2664" priority="1366">
      <formula>$AF183=1</formula>
    </cfRule>
  </conditionalFormatting>
  <conditionalFormatting sqref="N184">
    <cfRule type="expression" dxfId="2663" priority="1362">
      <formula>$AC184=2</formula>
    </cfRule>
  </conditionalFormatting>
  <conditionalFormatting sqref="N184">
    <cfRule type="expression" dxfId="2662" priority="1361">
      <formula>N184&gt;F184</formula>
    </cfRule>
  </conditionalFormatting>
  <conditionalFormatting sqref="G184">
    <cfRule type="expression" dxfId="2661" priority="1348">
      <formula>G184&gt;F184</formula>
    </cfRule>
  </conditionalFormatting>
  <conditionalFormatting sqref="J183:K184">
    <cfRule type="expression" dxfId="2660" priority="1352">
      <formula>$AD183=4</formula>
    </cfRule>
    <cfRule type="expression" dxfId="2659" priority="1353">
      <formula>$AD183=3</formula>
    </cfRule>
    <cfRule type="expression" dxfId="2658" priority="1354">
      <formula>$AD183=2</formula>
    </cfRule>
    <cfRule type="expression" dxfId="2657" priority="1355">
      <formula>$AD183=1</formula>
    </cfRule>
  </conditionalFormatting>
  <conditionalFormatting sqref="J183:K184">
    <cfRule type="expression" dxfId="2656" priority="1351">
      <formula>$AC183=2</formula>
    </cfRule>
  </conditionalFormatting>
  <conditionalFormatting sqref="L183:L184">
    <cfRule type="expression" dxfId="2655" priority="1350">
      <formula>$AC183=2</formula>
    </cfRule>
  </conditionalFormatting>
  <conditionalFormatting sqref="G184">
    <cfRule type="expression" dxfId="2654" priority="1349">
      <formula>$AC184=2</formula>
    </cfRule>
  </conditionalFormatting>
  <conditionalFormatting sqref="O183:O184">
    <cfRule type="expression" dxfId="2653" priority="1347">
      <formula>$AC183=2</formula>
    </cfRule>
  </conditionalFormatting>
  <conditionalFormatting sqref="V183:V184">
    <cfRule type="expression" dxfId="2652" priority="1346">
      <formula>$AC183=2</formula>
    </cfRule>
  </conditionalFormatting>
  <conditionalFormatting sqref="U184">
    <cfRule type="expression" dxfId="2651" priority="1345">
      <formula>$AC184=2</formula>
    </cfRule>
  </conditionalFormatting>
  <conditionalFormatting sqref="U184">
    <cfRule type="expression" dxfId="2650" priority="1344">
      <formula>U184&gt;F184</formula>
    </cfRule>
  </conditionalFormatting>
  <conditionalFormatting sqref="Q186:R189">
    <cfRule type="expression" dxfId="2649" priority="1338">
      <formula>$AE186=4</formula>
    </cfRule>
    <cfRule type="expression" dxfId="2648" priority="1339">
      <formula>$AE186=3</formula>
    </cfRule>
    <cfRule type="expression" dxfId="2647" priority="1340">
      <formula>$AE186=2</formula>
    </cfRule>
    <cfRule type="expression" dxfId="2646" priority="1341">
      <formula>$AE186=1</formula>
    </cfRule>
  </conditionalFormatting>
  <conditionalFormatting sqref="X186:Y189">
    <cfRule type="expression" dxfId="2645" priority="1334">
      <formula>$AF186=4</formula>
    </cfRule>
    <cfRule type="expression" dxfId="2644" priority="1335">
      <formula>$AF186=3</formula>
    </cfRule>
    <cfRule type="expression" dxfId="2643" priority="1336">
      <formula>$AF186=2</formula>
    </cfRule>
    <cfRule type="expression" dxfId="2642" priority="1337">
      <formula>$AF186=1</formula>
    </cfRule>
  </conditionalFormatting>
  <conditionalFormatting sqref="N187:N189">
    <cfRule type="expression" dxfId="2641" priority="1333">
      <formula>$AC187=2</formula>
    </cfRule>
  </conditionalFormatting>
  <conditionalFormatting sqref="N187:N189">
    <cfRule type="expression" dxfId="2640" priority="1332">
      <formula>N187&gt;F187</formula>
    </cfRule>
  </conditionalFormatting>
  <conditionalFormatting sqref="G187:G189">
    <cfRule type="expression" dxfId="2639" priority="1319">
      <formula>G187&gt;F187</formula>
    </cfRule>
  </conditionalFormatting>
  <conditionalFormatting sqref="J186:K189">
    <cfRule type="expression" dxfId="2638" priority="1323">
      <formula>$AD186=4</formula>
    </cfRule>
    <cfRule type="expression" dxfId="2637" priority="1324">
      <formula>$AD186=3</formula>
    </cfRule>
    <cfRule type="expression" dxfId="2636" priority="1325">
      <formula>$AD186=2</formula>
    </cfRule>
    <cfRule type="expression" dxfId="2635" priority="1326">
      <formula>$AD186=1</formula>
    </cfRule>
  </conditionalFormatting>
  <conditionalFormatting sqref="J186:K189">
    <cfRule type="expression" dxfId="2634" priority="1322">
      <formula>$AC186=2</formula>
    </cfRule>
  </conditionalFormatting>
  <conditionalFormatting sqref="L186:L189">
    <cfRule type="expression" dxfId="2633" priority="1321">
      <formula>$AC186=2</formula>
    </cfRule>
  </conditionalFormatting>
  <conditionalFormatting sqref="G187:G189">
    <cfRule type="expression" dxfId="2632" priority="1320">
      <formula>$AC187=2</formula>
    </cfRule>
  </conditionalFormatting>
  <conditionalFormatting sqref="O186:O187 O189">
    <cfRule type="expression" dxfId="2631" priority="1318">
      <formula>$AC186=2</formula>
    </cfRule>
  </conditionalFormatting>
  <conditionalFormatting sqref="V186:V187 V189">
    <cfRule type="expression" dxfId="2630" priority="1317">
      <formula>$AC186=2</formula>
    </cfRule>
  </conditionalFormatting>
  <conditionalFormatting sqref="U187:U189">
    <cfRule type="expression" dxfId="2629" priority="1316">
      <formula>$AC187=2</formula>
    </cfRule>
  </conditionalFormatting>
  <conditionalFormatting sqref="U187:U189">
    <cfRule type="expression" dxfId="2628" priority="1315">
      <formula>U187&gt;F187</formula>
    </cfRule>
  </conditionalFormatting>
  <conditionalFormatting sqref="Q199:R200">
    <cfRule type="expression" dxfId="2627" priority="1280">
      <formula>$AE199=4</formula>
    </cfRule>
    <cfRule type="expression" dxfId="2626" priority="1281">
      <formula>$AE199=3</formula>
    </cfRule>
    <cfRule type="expression" dxfId="2625" priority="1282">
      <formula>$AE199=2</formula>
    </cfRule>
    <cfRule type="expression" dxfId="2624" priority="1283">
      <formula>$AE199=1</formula>
    </cfRule>
  </conditionalFormatting>
  <conditionalFormatting sqref="X199:Y200">
    <cfRule type="expression" dxfId="2623" priority="1276">
      <formula>$AF199=4</formula>
    </cfRule>
    <cfRule type="expression" dxfId="2622" priority="1277">
      <formula>$AF199=3</formula>
    </cfRule>
    <cfRule type="expression" dxfId="2621" priority="1278">
      <formula>$AF199=2</formula>
    </cfRule>
    <cfRule type="expression" dxfId="2620" priority="1279">
      <formula>$AF199=1</formula>
    </cfRule>
  </conditionalFormatting>
  <conditionalFormatting sqref="N199:N200">
    <cfRule type="expression" dxfId="2619" priority="1275">
      <formula>$AC199=2</formula>
    </cfRule>
  </conditionalFormatting>
  <conditionalFormatting sqref="N199:N200">
    <cfRule type="expression" dxfId="2618" priority="1274">
      <formula>N199&gt;F199</formula>
    </cfRule>
  </conditionalFormatting>
  <conditionalFormatting sqref="G199:G200">
    <cfRule type="expression" dxfId="2617" priority="1261">
      <formula>G199&gt;F199</formula>
    </cfRule>
  </conditionalFormatting>
  <conditionalFormatting sqref="J199:K200">
    <cfRule type="expression" dxfId="2616" priority="1265">
      <formula>$AD199=4</formula>
    </cfRule>
    <cfRule type="expression" dxfId="2615" priority="1266">
      <formula>$AD199=3</formula>
    </cfRule>
    <cfRule type="expression" dxfId="2614" priority="1267">
      <formula>$AD199=2</formula>
    </cfRule>
    <cfRule type="expression" dxfId="2613" priority="1268">
      <formula>$AD199=1</formula>
    </cfRule>
  </conditionalFormatting>
  <conditionalFormatting sqref="J199:K200">
    <cfRule type="expression" dxfId="2612" priority="1264">
      <formula>$AC199=2</formula>
    </cfRule>
  </conditionalFormatting>
  <conditionalFormatting sqref="L199:L200">
    <cfRule type="expression" dxfId="2611" priority="1263">
      <formula>$AC199=2</formula>
    </cfRule>
  </conditionalFormatting>
  <conditionalFormatting sqref="G199:G200">
    <cfRule type="expression" dxfId="2610" priority="1262">
      <formula>$AC199=2</formula>
    </cfRule>
  </conditionalFormatting>
  <conditionalFormatting sqref="O199:O200">
    <cfRule type="expression" dxfId="2609" priority="1260">
      <formula>$AC199=2</formula>
    </cfRule>
  </conditionalFormatting>
  <conditionalFormatting sqref="V199:V200">
    <cfRule type="expression" dxfId="2608" priority="1259">
      <formula>$AC199=2</formula>
    </cfRule>
  </conditionalFormatting>
  <conditionalFormatting sqref="U199:U200">
    <cfRule type="expression" dxfId="2607" priority="1258">
      <formula>$AC199=2</formula>
    </cfRule>
  </conditionalFormatting>
  <conditionalFormatting sqref="U199:U200">
    <cfRule type="expression" dxfId="2606" priority="1257">
      <formula>U199&gt;F199</formula>
    </cfRule>
  </conditionalFormatting>
  <conditionalFormatting sqref="Q202:R203">
    <cfRule type="expression" dxfId="2605" priority="1251">
      <formula>$AE202=4</formula>
    </cfRule>
    <cfRule type="expression" dxfId="2604" priority="1252">
      <formula>$AE202=3</formula>
    </cfRule>
    <cfRule type="expression" dxfId="2603" priority="1253">
      <formula>$AE202=2</formula>
    </cfRule>
    <cfRule type="expression" dxfId="2602" priority="1254">
      <formula>$AE202=1</formula>
    </cfRule>
  </conditionalFormatting>
  <conditionalFormatting sqref="X202:Y203">
    <cfRule type="expression" dxfId="2601" priority="1247">
      <formula>$AF202=4</formula>
    </cfRule>
    <cfRule type="expression" dxfId="2600" priority="1248">
      <formula>$AF202=3</formula>
    </cfRule>
    <cfRule type="expression" dxfId="2599" priority="1249">
      <formula>$AF202=2</formula>
    </cfRule>
    <cfRule type="expression" dxfId="2598" priority="1250">
      <formula>$AF202=1</formula>
    </cfRule>
  </conditionalFormatting>
  <conditionalFormatting sqref="N202:N203">
    <cfRule type="expression" dxfId="2597" priority="1246">
      <formula>$AC202=2</formula>
    </cfRule>
  </conditionalFormatting>
  <conditionalFormatting sqref="N202:N203">
    <cfRule type="expression" dxfId="2596" priority="1245">
      <formula>N202&gt;F202</formula>
    </cfRule>
  </conditionalFormatting>
  <conditionalFormatting sqref="G202:G203">
    <cfRule type="expression" dxfId="2595" priority="1232">
      <formula>G202&gt;F202</formula>
    </cfRule>
  </conditionalFormatting>
  <conditionalFormatting sqref="J202:K203">
    <cfRule type="expression" dxfId="2594" priority="1236">
      <formula>$AD202=4</formula>
    </cfRule>
    <cfRule type="expression" dxfId="2593" priority="1237">
      <formula>$AD202=3</formula>
    </cfRule>
    <cfRule type="expression" dxfId="2592" priority="1238">
      <formula>$AD202=2</formula>
    </cfRule>
    <cfRule type="expression" dxfId="2591" priority="1239">
      <formula>$AD202=1</formula>
    </cfRule>
  </conditionalFormatting>
  <conditionalFormatting sqref="J202:K203">
    <cfRule type="expression" dxfId="2590" priority="1235">
      <formula>$AC202=2</formula>
    </cfRule>
  </conditionalFormatting>
  <conditionalFormatting sqref="L202:L203">
    <cfRule type="expression" dxfId="2589" priority="1234">
      <formula>$AC202=2</formula>
    </cfRule>
  </conditionalFormatting>
  <conditionalFormatting sqref="G202:G203">
    <cfRule type="expression" dxfId="2588" priority="1233">
      <formula>$AC202=2</formula>
    </cfRule>
  </conditionalFormatting>
  <conditionalFormatting sqref="O202:O203">
    <cfRule type="expression" dxfId="2587" priority="1231">
      <formula>$AC202=2</formula>
    </cfRule>
  </conditionalFormatting>
  <conditionalFormatting sqref="V202:V203">
    <cfRule type="expression" dxfId="2586" priority="1230">
      <formula>$AC202=2</formula>
    </cfRule>
  </conditionalFormatting>
  <conditionalFormatting sqref="U202:U203">
    <cfRule type="expression" dxfId="2585" priority="1229">
      <formula>$AC202=2</formula>
    </cfRule>
  </conditionalFormatting>
  <conditionalFormatting sqref="U202:U203">
    <cfRule type="expression" dxfId="2584" priority="1228">
      <formula>U202&gt;F202</formula>
    </cfRule>
  </conditionalFormatting>
  <conditionalFormatting sqref="Q205:R206">
    <cfRule type="expression" dxfId="2583" priority="1222">
      <formula>$AE205=4</formula>
    </cfRule>
    <cfRule type="expression" dxfId="2582" priority="1223">
      <formula>$AE205=3</formula>
    </cfRule>
    <cfRule type="expression" dxfId="2581" priority="1224">
      <formula>$AE205=2</formula>
    </cfRule>
    <cfRule type="expression" dxfId="2580" priority="1225">
      <formula>$AE205=1</formula>
    </cfRule>
  </conditionalFormatting>
  <conditionalFormatting sqref="X205:Y206">
    <cfRule type="expression" dxfId="2579" priority="1218">
      <formula>$AF205=4</formula>
    </cfRule>
    <cfRule type="expression" dxfId="2578" priority="1219">
      <formula>$AF205=3</formula>
    </cfRule>
    <cfRule type="expression" dxfId="2577" priority="1220">
      <formula>$AF205=2</formula>
    </cfRule>
    <cfRule type="expression" dxfId="2576" priority="1221">
      <formula>$AF205=1</formula>
    </cfRule>
  </conditionalFormatting>
  <conditionalFormatting sqref="N205:N206">
    <cfRule type="expression" dxfId="2575" priority="1217">
      <formula>$AC205=2</formula>
    </cfRule>
  </conditionalFormatting>
  <conditionalFormatting sqref="N205:N206">
    <cfRule type="expression" dxfId="2574" priority="1216">
      <formula>N205&gt;F205</formula>
    </cfRule>
  </conditionalFormatting>
  <conditionalFormatting sqref="G205:G206">
    <cfRule type="expression" dxfId="2573" priority="1203">
      <formula>G205&gt;F205</formula>
    </cfRule>
  </conditionalFormatting>
  <conditionalFormatting sqref="J205:K206">
    <cfRule type="expression" dxfId="2572" priority="1207">
      <formula>$AD205=4</formula>
    </cfRule>
    <cfRule type="expression" dxfId="2571" priority="1208">
      <formula>$AD205=3</formula>
    </cfRule>
    <cfRule type="expression" dxfId="2570" priority="1209">
      <formula>$AD205=2</formula>
    </cfRule>
    <cfRule type="expression" dxfId="2569" priority="1210">
      <formula>$AD205=1</formula>
    </cfRule>
  </conditionalFormatting>
  <conditionalFormatting sqref="J205:K206">
    <cfRule type="expression" dxfId="2568" priority="1206">
      <formula>$AC205=2</formula>
    </cfRule>
  </conditionalFormatting>
  <conditionalFormatting sqref="L205:L206">
    <cfRule type="expression" dxfId="2567" priority="1205">
      <formula>$AC205=2</formula>
    </cfRule>
  </conditionalFormatting>
  <conditionalFormatting sqref="G205:G206">
    <cfRule type="expression" dxfId="2566" priority="1204">
      <formula>$AC205=2</formula>
    </cfRule>
  </conditionalFormatting>
  <conditionalFormatting sqref="O205:O206">
    <cfRule type="expression" dxfId="2565" priority="1202">
      <formula>$AC205=2</formula>
    </cfRule>
  </conditionalFormatting>
  <conditionalFormatting sqref="V205:V206">
    <cfRule type="expression" dxfId="2564" priority="1201">
      <formula>$AC205=2</formula>
    </cfRule>
  </conditionalFormatting>
  <conditionalFormatting sqref="U205:U206">
    <cfRule type="expression" dxfId="2563" priority="1200">
      <formula>$AC205=2</formula>
    </cfRule>
  </conditionalFormatting>
  <conditionalFormatting sqref="U205:U206">
    <cfRule type="expression" dxfId="2562" priority="1199">
      <formula>U205&gt;F205</formula>
    </cfRule>
  </conditionalFormatting>
  <conditionalFormatting sqref="G46">
    <cfRule type="expression" dxfId="2561" priority="1196">
      <formula>$AC46=2</formula>
    </cfRule>
  </conditionalFormatting>
  <conditionalFormatting sqref="G46">
    <cfRule type="expression" dxfId="2560" priority="1195">
      <formula>G46&gt;F46</formula>
    </cfRule>
  </conditionalFormatting>
  <conditionalFormatting sqref="G55">
    <cfRule type="expression" dxfId="2559" priority="1194">
      <formula>$AC55=2</formula>
    </cfRule>
  </conditionalFormatting>
  <conditionalFormatting sqref="G55">
    <cfRule type="expression" dxfId="2558" priority="1193">
      <formula>G55&gt;F55</formula>
    </cfRule>
  </conditionalFormatting>
  <conditionalFormatting sqref="G118">
    <cfRule type="expression" dxfId="2557" priority="1192">
      <formula>$AC118=2</formula>
    </cfRule>
  </conditionalFormatting>
  <conditionalFormatting sqref="G118">
    <cfRule type="expression" dxfId="2556" priority="1191">
      <formula>G118&gt;F118</formula>
    </cfRule>
  </conditionalFormatting>
  <conditionalFormatting sqref="G122">
    <cfRule type="expression" dxfId="2555" priority="1190">
      <formula>$AC122=2</formula>
    </cfRule>
  </conditionalFormatting>
  <conditionalFormatting sqref="G122">
    <cfRule type="expression" dxfId="2554" priority="1189">
      <formula>G122&gt;F122</formula>
    </cfRule>
  </conditionalFormatting>
  <conditionalFormatting sqref="G126">
    <cfRule type="expression" dxfId="2553" priority="1188">
      <formula>$AC126=2</formula>
    </cfRule>
  </conditionalFormatting>
  <conditionalFormatting sqref="G126">
    <cfRule type="expression" dxfId="2552" priority="1187">
      <formula>G126&gt;F126</formula>
    </cfRule>
  </conditionalFormatting>
  <conditionalFormatting sqref="G130">
    <cfRule type="expression" dxfId="2551" priority="1186">
      <formula>$AC130=2</formula>
    </cfRule>
  </conditionalFormatting>
  <conditionalFormatting sqref="G130">
    <cfRule type="expression" dxfId="2550" priority="1185">
      <formula>G130&gt;F130</formula>
    </cfRule>
  </conditionalFormatting>
  <conditionalFormatting sqref="G166">
    <cfRule type="expression" dxfId="2549" priority="1184">
      <formula>$AC166=2</formula>
    </cfRule>
  </conditionalFormatting>
  <conditionalFormatting sqref="G166">
    <cfRule type="expression" dxfId="2548" priority="1183">
      <formula>G166&gt;F166</formula>
    </cfRule>
  </conditionalFormatting>
  <conditionalFormatting sqref="G173">
    <cfRule type="expression" dxfId="2547" priority="1180">
      <formula>$AC173=2</formula>
    </cfRule>
  </conditionalFormatting>
  <conditionalFormatting sqref="G173">
    <cfRule type="expression" dxfId="2546" priority="1179">
      <formula>G173&gt;F173</formula>
    </cfRule>
  </conditionalFormatting>
  <conditionalFormatting sqref="G177">
    <cfRule type="expression" dxfId="2545" priority="1178">
      <formula>$AC177=2</formula>
    </cfRule>
  </conditionalFormatting>
  <conditionalFormatting sqref="G177">
    <cfRule type="expression" dxfId="2544" priority="1177">
      <formula>G177&gt;F177</formula>
    </cfRule>
  </conditionalFormatting>
  <conditionalFormatting sqref="G183">
    <cfRule type="expression" dxfId="2543" priority="1176">
      <formula>$AC183=2</formula>
    </cfRule>
  </conditionalFormatting>
  <conditionalFormatting sqref="G183">
    <cfRule type="expression" dxfId="2542" priority="1175">
      <formula>G183&gt;F183</formula>
    </cfRule>
  </conditionalFormatting>
  <conditionalFormatting sqref="G186">
    <cfRule type="expression" dxfId="2541" priority="1174">
      <formula>$AC186=2</formula>
    </cfRule>
  </conditionalFormatting>
  <conditionalFormatting sqref="G186">
    <cfRule type="expression" dxfId="2540" priority="1173">
      <formula>G186&gt;F186</formula>
    </cfRule>
  </conditionalFormatting>
  <conditionalFormatting sqref="L223">
    <cfRule type="expression" dxfId="2539" priority="1172">
      <formula>$AC223=2</formula>
    </cfRule>
  </conditionalFormatting>
  <conditionalFormatting sqref="J223">
    <cfRule type="expression" dxfId="2538" priority="1168">
      <formula>$AD223=4</formula>
    </cfRule>
    <cfRule type="expression" dxfId="2537" priority="1169">
      <formula>$AD223=3</formula>
    </cfRule>
    <cfRule type="expression" dxfId="2536" priority="1170">
      <formula>$AD223=2</formula>
    </cfRule>
    <cfRule type="expression" dxfId="2535" priority="1171">
      <formula>$AD223=1</formula>
    </cfRule>
  </conditionalFormatting>
  <conditionalFormatting sqref="Q223:R223">
    <cfRule type="expression" dxfId="2534" priority="1164">
      <formula>$AE223=4</formula>
    </cfRule>
    <cfRule type="expression" dxfId="2533" priority="1165">
      <formula>$AE223=3</formula>
    </cfRule>
    <cfRule type="expression" dxfId="2532" priority="1166">
      <formula>$AE223=2</formula>
    </cfRule>
    <cfRule type="expression" dxfId="2531" priority="1167">
      <formula>$AE223=1</formula>
    </cfRule>
  </conditionalFormatting>
  <conditionalFormatting sqref="X223:Y223">
    <cfRule type="expression" dxfId="2530" priority="1160">
      <formula>$AF223=4</formula>
    </cfRule>
    <cfRule type="expression" dxfId="2529" priority="1161">
      <formula>$AF223=3</formula>
    </cfRule>
    <cfRule type="expression" dxfId="2528" priority="1162">
      <formula>$AF223=2</formula>
    </cfRule>
    <cfRule type="expression" dxfId="2527" priority="1163">
      <formula>$AF223=1</formula>
    </cfRule>
  </conditionalFormatting>
  <conditionalFormatting sqref="J223">
    <cfRule type="expression" dxfId="2526" priority="1159">
      <formula>$AC223=2</formula>
    </cfRule>
  </conditionalFormatting>
  <conditionalFormatting sqref="N223">
    <cfRule type="expression" dxfId="2525" priority="1158">
      <formula>N223&gt;F223</formula>
    </cfRule>
  </conditionalFormatting>
  <conditionalFormatting sqref="U223">
    <cfRule type="expression" dxfId="2524" priority="1157">
      <formula>U223&gt;F223</formula>
    </cfRule>
  </conditionalFormatting>
  <conditionalFormatting sqref="K223">
    <cfRule type="expression" dxfId="2523" priority="1149">
      <formula>$AD223=4</formula>
    </cfRule>
    <cfRule type="expression" dxfId="2522" priority="1150">
      <formula>$AD223=3</formula>
    </cfRule>
    <cfRule type="expression" dxfId="2521" priority="1151">
      <formula>$AD223=2</formula>
    </cfRule>
    <cfRule type="expression" dxfId="2520" priority="1152">
      <formula>$AD223=1</formula>
    </cfRule>
  </conditionalFormatting>
  <conditionalFormatting sqref="K223">
    <cfRule type="expression" dxfId="2519" priority="1148">
      <formula>$AC223=2</formula>
    </cfRule>
  </conditionalFormatting>
  <conditionalFormatting sqref="Z223">
    <cfRule type="expression" dxfId="2518" priority="1147">
      <formula>$AC223=2</formula>
    </cfRule>
  </conditionalFormatting>
  <conditionalFormatting sqref="X195:Y195">
    <cfRule type="expression" dxfId="2517" priority="1135">
      <formula>$AF195=4</formula>
    </cfRule>
    <cfRule type="expression" dxfId="2516" priority="1136">
      <formula>$AF195=3</formula>
    </cfRule>
    <cfRule type="expression" dxfId="2515" priority="1137">
      <formula>$AF195=2</formula>
    </cfRule>
    <cfRule type="expression" dxfId="2514" priority="1138">
      <formula>$AF195=1</formula>
    </cfRule>
  </conditionalFormatting>
  <conditionalFormatting sqref="AZ195">
    <cfRule type="expression" dxfId="2513" priority="1134">
      <formula>$AC195=2</formula>
    </cfRule>
  </conditionalFormatting>
  <conditionalFormatting sqref="J197:K197">
    <cfRule type="expression" dxfId="2512" priority="1119">
      <formula>$AD197=4</formula>
    </cfRule>
    <cfRule type="expression" dxfId="2511" priority="1120">
      <formula>$AD197=3</formula>
    </cfRule>
    <cfRule type="expression" dxfId="2510" priority="1121">
      <formula>$AD197=2</formula>
    </cfRule>
    <cfRule type="expression" dxfId="2509" priority="1122">
      <formula>$AD197=1</formula>
    </cfRule>
  </conditionalFormatting>
  <conditionalFormatting sqref="Q197:R197">
    <cfRule type="expression" dxfId="2508" priority="1115">
      <formula>$AE197=4</formula>
    </cfRule>
    <cfRule type="expression" dxfId="2507" priority="1116">
      <formula>$AE197=3</formula>
    </cfRule>
    <cfRule type="expression" dxfId="2506" priority="1117">
      <formula>$AE197=2</formula>
    </cfRule>
    <cfRule type="expression" dxfId="2505" priority="1118">
      <formula>$AE197=1</formula>
    </cfRule>
  </conditionalFormatting>
  <conditionalFormatting sqref="X197:Y197">
    <cfRule type="expression" dxfId="2504" priority="1111">
      <formula>$AF197=4</formula>
    </cfRule>
    <cfRule type="expression" dxfId="2503" priority="1112">
      <formula>$AF197=3</formula>
    </cfRule>
    <cfRule type="expression" dxfId="2502" priority="1113">
      <formula>$AF197=2</formula>
    </cfRule>
    <cfRule type="expression" dxfId="2501" priority="1114">
      <formula>$AF197=1</formula>
    </cfRule>
  </conditionalFormatting>
  <conditionalFormatting sqref="AZ197">
    <cfRule type="expression" dxfId="2500" priority="1110">
      <formula>$AC197=2</formula>
    </cfRule>
  </conditionalFormatting>
  <conditionalFormatting sqref="G197">
    <cfRule type="expression" dxfId="2499" priority="1109">
      <formula>G197&gt;F197</formula>
    </cfRule>
  </conditionalFormatting>
  <conditionalFormatting sqref="N197">
    <cfRule type="expression" dxfId="2498" priority="1108">
      <formula>N197&gt;F197</formula>
    </cfRule>
  </conditionalFormatting>
  <conditionalFormatting sqref="U197">
    <cfRule type="expression" dxfId="2497" priority="1107">
      <formula>U197&gt;F197</formula>
    </cfRule>
  </conditionalFormatting>
  <conditionalFormatting sqref="O210">
    <cfRule type="expression" dxfId="2496" priority="1098">
      <formula>$AC210=2</formula>
    </cfRule>
  </conditionalFormatting>
  <conditionalFormatting sqref="O211">
    <cfRule type="expression" dxfId="2495" priority="1097">
      <formula>$AC211=2</formula>
    </cfRule>
  </conditionalFormatting>
  <conditionalFormatting sqref="O212">
    <cfRule type="expression" dxfId="2494" priority="1096">
      <formula>$AC212=2</formula>
    </cfRule>
  </conditionalFormatting>
  <conditionalFormatting sqref="O213:O223">
    <cfRule type="expression" dxfId="2493" priority="1095">
      <formula>$AC213=2</formula>
    </cfRule>
  </conditionalFormatting>
  <conditionalFormatting sqref="V210:V223">
    <cfRule type="expression" dxfId="2492" priority="1094">
      <formula>$AC210=2</formula>
    </cfRule>
  </conditionalFormatting>
  <conditionalFormatting sqref="Q62:R62">
    <cfRule type="expression" dxfId="2491" priority="1090">
      <formula>$AE62=4</formula>
    </cfRule>
    <cfRule type="expression" dxfId="2490" priority="1091">
      <formula>$AE62=3</formula>
    </cfRule>
    <cfRule type="expression" dxfId="2489" priority="1092">
      <formula>$AE62=2</formula>
    </cfRule>
    <cfRule type="expression" dxfId="2488" priority="1093">
      <formula>$AE62=1</formula>
    </cfRule>
  </conditionalFormatting>
  <conditionalFormatting sqref="Q62:R62">
    <cfRule type="expression" dxfId="2487" priority="1089">
      <formula>$AC62=2</formula>
    </cfRule>
  </conditionalFormatting>
  <conditionalFormatting sqref="U62">
    <cfRule type="expression" dxfId="2486" priority="1088">
      <formula>U62&gt;F62</formula>
    </cfRule>
  </conditionalFormatting>
  <conditionalFormatting sqref="O62">
    <cfRule type="expression" dxfId="2485" priority="1083">
      <formula>$AC62=2</formula>
    </cfRule>
  </conditionalFormatting>
  <conditionalFormatting sqref="V62">
    <cfRule type="expression" dxfId="2484" priority="1082">
      <formula>$AC62=2</formula>
    </cfRule>
  </conditionalFormatting>
  <conditionalFormatting sqref="Q91:R91">
    <cfRule type="expression" dxfId="2483" priority="1078">
      <formula>$AE91=4</formula>
    </cfRule>
    <cfRule type="expression" dxfId="2482" priority="1079">
      <formula>$AE91=3</formula>
    </cfRule>
    <cfRule type="expression" dxfId="2481" priority="1080">
      <formula>$AE91=2</formula>
    </cfRule>
    <cfRule type="expression" dxfId="2480" priority="1081">
      <formula>$AE91=1</formula>
    </cfRule>
  </conditionalFormatting>
  <conditionalFormatting sqref="Q91:R91">
    <cfRule type="expression" dxfId="2479" priority="1077">
      <formula>$AC91=2</formula>
    </cfRule>
  </conditionalFormatting>
  <conditionalFormatting sqref="U91">
    <cfRule type="expression" dxfId="2478" priority="1076">
      <formula>U91&gt;F91</formula>
    </cfRule>
  </conditionalFormatting>
  <conditionalFormatting sqref="O91">
    <cfRule type="expression" dxfId="2477" priority="1071">
      <formula>$AC91=2</formula>
    </cfRule>
  </conditionalFormatting>
  <conditionalFormatting sqref="V91">
    <cfRule type="expression" dxfId="2476" priority="1070">
      <formula>$AC91=2</formula>
    </cfRule>
  </conditionalFormatting>
  <conditionalFormatting sqref="Q100:R100">
    <cfRule type="expression" dxfId="2475" priority="1066">
      <formula>$AE100=4</formula>
    </cfRule>
    <cfRule type="expression" dxfId="2474" priority="1067">
      <formula>$AE100=3</formula>
    </cfRule>
    <cfRule type="expression" dxfId="2473" priority="1068">
      <formula>$AE100=2</formula>
    </cfRule>
    <cfRule type="expression" dxfId="2472" priority="1069">
      <formula>$AE100=1</formula>
    </cfRule>
  </conditionalFormatting>
  <conditionalFormatting sqref="Q100:R100">
    <cfRule type="expression" dxfId="2471" priority="1065">
      <formula>$AC100=2</formula>
    </cfRule>
  </conditionalFormatting>
  <conditionalFormatting sqref="U100">
    <cfRule type="expression" dxfId="2470" priority="1064">
      <formula>U100&gt;F100</formula>
    </cfRule>
  </conditionalFormatting>
  <conditionalFormatting sqref="O100">
    <cfRule type="expression" dxfId="2469" priority="1059">
      <formula>$AC100=2</formula>
    </cfRule>
  </conditionalFormatting>
  <conditionalFormatting sqref="V100">
    <cfRule type="expression" dxfId="2468" priority="1058">
      <formula>$AC100=2</formula>
    </cfRule>
  </conditionalFormatting>
  <conditionalFormatting sqref="Q114:R114">
    <cfRule type="expression" dxfId="2467" priority="1054">
      <formula>$AE114=4</formula>
    </cfRule>
    <cfRule type="expression" dxfId="2466" priority="1055">
      <formula>$AE114=3</formula>
    </cfRule>
    <cfRule type="expression" dxfId="2465" priority="1056">
      <formula>$AE114=2</formula>
    </cfRule>
    <cfRule type="expression" dxfId="2464" priority="1057">
      <formula>$AE114=1</formula>
    </cfRule>
  </conditionalFormatting>
  <conditionalFormatting sqref="Q114:R114">
    <cfRule type="expression" dxfId="2463" priority="1053">
      <formula>$AC114=2</formula>
    </cfRule>
  </conditionalFormatting>
  <conditionalFormatting sqref="U114">
    <cfRule type="expression" dxfId="2462" priority="1052">
      <formula>U114&gt;F114</formula>
    </cfRule>
  </conditionalFormatting>
  <conditionalFormatting sqref="O114">
    <cfRule type="expression" dxfId="2461" priority="1047">
      <formula>$AC114=2</formula>
    </cfRule>
  </conditionalFormatting>
  <conditionalFormatting sqref="V114">
    <cfRule type="expression" dxfId="2460" priority="1046">
      <formula>$AC114=2</formula>
    </cfRule>
  </conditionalFormatting>
  <conditionalFormatting sqref="Q144:R144">
    <cfRule type="expression" dxfId="2459" priority="1042">
      <formula>$AE144=4</formula>
    </cfRule>
    <cfRule type="expression" dxfId="2458" priority="1043">
      <formula>$AE144=3</formula>
    </cfRule>
    <cfRule type="expression" dxfId="2457" priority="1044">
      <formula>$AE144=2</formula>
    </cfRule>
    <cfRule type="expression" dxfId="2456" priority="1045">
      <formula>$AE144=1</formula>
    </cfRule>
  </conditionalFormatting>
  <conditionalFormatting sqref="Q144:R144">
    <cfRule type="expression" dxfId="2455" priority="1041">
      <formula>$AC144=2</formula>
    </cfRule>
  </conditionalFormatting>
  <conditionalFormatting sqref="U144">
    <cfRule type="expression" dxfId="2454" priority="1040">
      <formula>U144&gt;F144</formula>
    </cfRule>
  </conditionalFormatting>
  <conditionalFormatting sqref="O144">
    <cfRule type="expression" dxfId="2453" priority="1035">
      <formula>$AC144=2</formula>
    </cfRule>
  </conditionalFormatting>
  <conditionalFormatting sqref="V144">
    <cfRule type="expression" dxfId="2452" priority="1034">
      <formula>$AC144=2</formula>
    </cfRule>
  </conditionalFormatting>
  <conditionalFormatting sqref="Q159:R159">
    <cfRule type="expression" dxfId="2451" priority="1030">
      <formula>$AE159=4</formula>
    </cfRule>
    <cfRule type="expression" dxfId="2450" priority="1031">
      <formula>$AE159=3</formula>
    </cfRule>
    <cfRule type="expression" dxfId="2449" priority="1032">
      <formula>$AE159=2</formula>
    </cfRule>
    <cfRule type="expression" dxfId="2448" priority="1033">
      <formula>$AE159=1</formula>
    </cfRule>
  </conditionalFormatting>
  <conditionalFormatting sqref="Q159:R159">
    <cfRule type="expression" dxfId="2447" priority="1029">
      <formula>$AC159=2</formula>
    </cfRule>
  </conditionalFormatting>
  <conditionalFormatting sqref="U159">
    <cfRule type="expression" dxfId="2446" priority="1028">
      <formula>U159&gt;F159</formula>
    </cfRule>
  </conditionalFormatting>
  <conditionalFormatting sqref="O159">
    <cfRule type="expression" dxfId="2445" priority="1023">
      <formula>$AC159=2</formula>
    </cfRule>
  </conditionalFormatting>
  <conditionalFormatting sqref="V159">
    <cfRule type="expression" dxfId="2444" priority="1022">
      <formula>$AC159=2</formula>
    </cfRule>
  </conditionalFormatting>
  <conditionalFormatting sqref="Q190:R190">
    <cfRule type="expression" dxfId="2443" priority="1018">
      <formula>$AE190=4</formula>
    </cfRule>
    <cfRule type="expression" dxfId="2442" priority="1019">
      <formula>$AE190=3</formula>
    </cfRule>
    <cfRule type="expression" dxfId="2441" priority="1020">
      <formula>$AE190=2</formula>
    </cfRule>
    <cfRule type="expression" dxfId="2440" priority="1021">
      <formula>$AE190=1</formula>
    </cfRule>
  </conditionalFormatting>
  <conditionalFormatting sqref="Q190:R190">
    <cfRule type="expression" dxfId="2439" priority="1017">
      <formula>$AC190=2</formula>
    </cfRule>
  </conditionalFormatting>
  <conditionalFormatting sqref="U190">
    <cfRule type="expression" dxfId="2438" priority="1016">
      <formula>U190&gt;F190</formula>
    </cfRule>
  </conditionalFormatting>
  <conditionalFormatting sqref="O190">
    <cfRule type="expression" dxfId="2437" priority="1011">
      <formula>$AC190=2</formula>
    </cfRule>
  </conditionalFormatting>
  <conditionalFormatting sqref="V190">
    <cfRule type="expression" dxfId="2436" priority="1010">
      <formula>$AC190=2</formula>
    </cfRule>
  </conditionalFormatting>
  <conditionalFormatting sqref="Q207:R207">
    <cfRule type="expression" dxfId="2435" priority="1006">
      <formula>$AE207=4</formula>
    </cfRule>
    <cfRule type="expression" dxfId="2434" priority="1007">
      <formula>$AE207=3</formula>
    </cfRule>
    <cfRule type="expression" dxfId="2433" priority="1008">
      <formula>$AE207=2</formula>
    </cfRule>
    <cfRule type="expression" dxfId="2432" priority="1009">
      <formula>$AE207=1</formula>
    </cfRule>
  </conditionalFormatting>
  <conditionalFormatting sqref="Q207:R207">
    <cfRule type="expression" dxfId="2431" priority="1005">
      <formula>$AC207=2</formula>
    </cfRule>
  </conditionalFormatting>
  <conditionalFormatting sqref="U207">
    <cfRule type="expression" dxfId="2430" priority="1004">
      <formula>U207&gt;F207</formula>
    </cfRule>
  </conditionalFormatting>
  <conditionalFormatting sqref="O207">
    <cfRule type="expression" dxfId="2429" priority="999">
      <formula>$AC207=2</formula>
    </cfRule>
  </conditionalFormatting>
  <conditionalFormatting sqref="V207">
    <cfRule type="expression" dxfId="2428" priority="998">
      <formula>$AC207=2</formula>
    </cfRule>
  </conditionalFormatting>
  <conditionalFormatting sqref="Q224:R224">
    <cfRule type="expression" dxfId="2427" priority="994">
      <formula>$AE224=4</formula>
    </cfRule>
    <cfRule type="expression" dxfId="2426" priority="995">
      <formula>$AE224=3</formula>
    </cfRule>
    <cfRule type="expression" dxfId="2425" priority="996">
      <formula>$AE224=2</formula>
    </cfRule>
    <cfRule type="expression" dxfId="2424" priority="997">
      <formula>$AE224=1</formula>
    </cfRule>
  </conditionalFormatting>
  <conditionalFormatting sqref="U224">
    <cfRule type="expression" dxfId="2423" priority="992">
      <formula>U224&gt;F224</formula>
    </cfRule>
  </conditionalFormatting>
  <conditionalFormatting sqref="O224">
    <cfRule type="expression" dxfId="2422" priority="987">
      <formula>$AC224=2</formula>
    </cfRule>
  </conditionalFormatting>
  <conditionalFormatting sqref="V224">
    <cfRule type="expression" dxfId="2421" priority="986">
      <formula>$AC224=2</formula>
    </cfRule>
  </conditionalFormatting>
  <conditionalFormatting sqref="N55">
    <cfRule type="expression" dxfId="2420" priority="985">
      <formula>$AC55=2</formula>
    </cfRule>
  </conditionalFormatting>
  <conditionalFormatting sqref="N55">
    <cfRule type="expression" dxfId="2419" priority="984">
      <formula>N55&gt;F55</formula>
    </cfRule>
  </conditionalFormatting>
  <conditionalFormatting sqref="N118">
    <cfRule type="expression" dxfId="2418" priority="981">
      <formula>$AC118=2</formula>
    </cfRule>
  </conditionalFormatting>
  <conditionalFormatting sqref="N118">
    <cfRule type="expression" dxfId="2417" priority="980">
      <formula>N118&gt;F118</formula>
    </cfRule>
  </conditionalFormatting>
  <conditionalFormatting sqref="N122">
    <cfRule type="expression" dxfId="2416" priority="977">
      <formula>$AC122=2</formula>
    </cfRule>
  </conditionalFormatting>
  <conditionalFormatting sqref="N122">
    <cfRule type="expression" dxfId="2415" priority="976">
      <formula>N122&gt;F122</formula>
    </cfRule>
  </conditionalFormatting>
  <conditionalFormatting sqref="N126">
    <cfRule type="expression" dxfId="2414" priority="973">
      <formula>$AC126=2</formula>
    </cfRule>
  </conditionalFormatting>
  <conditionalFormatting sqref="N126">
    <cfRule type="expression" dxfId="2413" priority="972">
      <formula>N126&gt;F126</formula>
    </cfRule>
  </conditionalFormatting>
  <conditionalFormatting sqref="N130">
    <cfRule type="expression" dxfId="2412" priority="969">
      <formula>$AC130=2</formula>
    </cfRule>
  </conditionalFormatting>
  <conditionalFormatting sqref="N130">
    <cfRule type="expression" dxfId="2411" priority="968">
      <formula>N130&gt;F130</formula>
    </cfRule>
  </conditionalFormatting>
  <conditionalFormatting sqref="N166">
    <cfRule type="expression" dxfId="2410" priority="965">
      <formula>$AC166=2</formula>
    </cfRule>
  </conditionalFormatting>
  <conditionalFormatting sqref="N166">
    <cfRule type="expression" dxfId="2409" priority="964">
      <formula>N166&gt;F166</formula>
    </cfRule>
  </conditionalFormatting>
  <conditionalFormatting sqref="N173">
    <cfRule type="expression" dxfId="2408" priority="957">
      <formula>$AC173=2</formula>
    </cfRule>
  </conditionalFormatting>
  <conditionalFormatting sqref="N173">
    <cfRule type="expression" dxfId="2407" priority="956">
      <formula>N173&gt;F173</formula>
    </cfRule>
  </conditionalFormatting>
  <conditionalFormatting sqref="N177">
    <cfRule type="expression" dxfId="2406" priority="953">
      <formula>$AC177=2</formula>
    </cfRule>
  </conditionalFormatting>
  <conditionalFormatting sqref="N177">
    <cfRule type="expression" dxfId="2405" priority="952">
      <formula>N177&gt;F177</formula>
    </cfRule>
  </conditionalFormatting>
  <conditionalFormatting sqref="N183">
    <cfRule type="expression" dxfId="2404" priority="949">
      <formula>$AC183=2</formula>
    </cfRule>
  </conditionalFormatting>
  <conditionalFormatting sqref="N183">
    <cfRule type="expression" dxfId="2403" priority="948">
      <formula>N183&gt;F183</formula>
    </cfRule>
  </conditionalFormatting>
  <conditionalFormatting sqref="N186">
    <cfRule type="expression" dxfId="2402" priority="945">
      <formula>$AC186=2</formula>
    </cfRule>
  </conditionalFormatting>
  <conditionalFormatting sqref="N186">
    <cfRule type="expression" dxfId="2401" priority="944">
      <formula>N186&gt;F186</formula>
    </cfRule>
  </conditionalFormatting>
  <conditionalFormatting sqref="U55">
    <cfRule type="expression" dxfId="2400" priority="941">
      <formula>$AC55=2</formula>
    </cfRule>
  </conditionalFormatting>
  <conditionalFormatting sqref="U55">
    <cfRule type="expression" dxfId="2399" priority="940">
      <formula>U55&gt;F55</formula>
    </cfRule>
  </conditionalFormatting>
  <conditionalFormatting sqref="U118">
    <cfRule type="expression" dxfId="2398" priority="937">
      <formula>$AC118=2</formula>
    </cfRule>
  </conditionalFormatting>
  <conditionalFormatting sqref="U118">
    <cfRule type="expression" dxfId="2397" priority="936">
      <formula>U118&gt;F118</formula>
    </cfRule>
  </conditionalFormatting>
  <conditionalFormatting sqref="U122">
    <cfRule type="expression" dxfId="2396" priority="933">
      <formula>$AC122=2</formula>
    </cfRule>
  </conditionalFormatting>
  <conditionalFormatting sqref="U122">
    <cfRule type="expression" dxfId="2395" priority="932">
      <formula>U122&gt;F122</formula>
    </cfRule>
  </conditionalFormatting>
  <conditionalFormatting sqref="U126">
    <cfRule type="expression" dxfId="2394" priority="929">
      <formula>$AC126=2</formula>
    </cfRule>
  </conditionalFormatting>
  <conditionalFormatting sqref="U126">
    <cfRule type="expression" dxfId="2393" priority="928">
      <formula>U126&gt;F126</formula>
    </cfRule>
  </conditionalFormatting>
  <conditionalFormatting sqref="U130">
    <cfRule type="expression" dxfId="2392" priority="925">
      <formula>$AC130=2</formula>
    </cfRule>
  </conditionalFormatting>
  <conditionalFormatting sqref="U130">
    <cfRule type="expression" dxfId="2391" priority="924">
      <formula>U130&gt;F130</formula>
    </cfRule>
  </conditionalFormatting>
  <conditionalFormatting sqref="U166">
    <cfRule type="expression" dxfId="2390" priority="921">
      <formula>$AC166=2</formula>
    </cfRule>
  </conditionalFormatting>
  <conditionalFormatting sqref="U166">
    <cfRule type="expression" dxfId="2389" priority="920">
      <formula>U166&gt;F166</formula>
    </cfRule>
  </conditionalFormatting>
  <conditionalFormatting sqref="U173">
    <cfRule type="expression" dxfId="2388" priority="913">
      <formula>$AC173=2</formula>
    </cfRule>
  </conditionalFormatting>
  <conditionalFormatting sqref="U173">
    <cfRule type="expression" dxfId="2387" priority="912">
      <formula>U173&gt;F173</formula>
    </cfRule>
  </conditionalFormatting>
  <conditionalFormatting sqref="U177">
    <cfRule type="expression" dxfId="2386" priority="909">
      <formula>$AC177=2</formula>
    </cfRule>
  </conditionalFormatting>
  <conditionalFormatting sqref="U177">
    <cfRule type="expression" dxfId="2385" priority="908">
      <formula>U177&gt;F177</formula>
    </cfRule>
  </conditionalFormatting>
  <conditionalFormatting sqref="U183">
    <cfRule type="expression" dxfId="2384" priority="905">
      <formula>$AC183=2</formula>
    </cfRule>
  </conditionalFormatting>
  <conditionalFormatting sqref="U183">
    <cfRule type="expression" dxfId="2383" priority="904">
      <formula>U183&gt;F183</formula>
    </cfRule>
  </conditionalFormatting>
  <conditionalFormatting sqref="U186">
    <cfRule type="expression" dxfId="2382" priority="901">
      <formula>$AC186=2</formula>
    </cfRule>
  </conditionalFormatting>
  <conditionalFormatting sqref="U186">
    <cfRule type="expression" dxfId="2381" priority="900">
      <formula>U186&gt;F186</formula>
    </cfRule>
  </conditionalFormatting>
  <conditionalFormatting sqref="AZ134">
    <cfRule type="expression" dxfId="2380" priority="897">
      <formula>$AC134=2</formula>
    </cfRule>
  </conditionalFormatting>
  <conditionalFormatting sqref="AB134">
    <cfRule type="expression" dxfId="2379" priority="895">
      <formula>$AJ$4="Nei"</formula>
    </cfRule>
    <cfRule type="expression" dxfId="2378" priority="896">
      <formula>$AC134=2</formula>
    </cfRule>
  </conditionalFormatting>
  <conditionalFormatting sqref="Q134:R134">
    <cfRule type="expression" dxfId="2377" priority="891">
      <formula>$AE134=4</formula>
    </cfRule>
    <cfRule type="expression" dxfId="2376" priority="892">
      <formula>$AE134=3</formula>
    </cfRule>
    <cfRule type="expression" dxfId="2375" priority="893">
      <formula>$AE134=2</formula>
    </cfRule>
    <cfRule type="expression" dxfId="2374" priority="894">
      <formula>$AE134=1</formula>
    </cfRule>
  </conditionalFormatting>
  <conditionalFormatting sqref="X134:Y134">
    <cfRule type="expression" dxfId="2373" priority="887">
      <formula>$AF134=4</formula>
    </cfRule>
    <cfRule type="expression" dxfId="2372" priority="888">
      <formula>$AF134=3</formula>
    </cfRule>
    <cfRule type="expression" dxfId="2371" priority="889">
      <formula>$AF134=2</formula>
    </cfRule>
    <cfRule type="expression" dxfId="2370" priority="890">
      <formula>$AF134=1</formula>
    </cfRule>
  </conditionalFormatting>
  <conditionalFormatting sqref="N134">
    <cfRule type="expression" dxfId="2369" priority="886">
      <formula>$AC134=2</formula>
    </cfRule>
  </conditionalFormatting>
  <conditionalFormatting sqref="N134">
    <cfRule type="expression" dxfId="2368" priority="885">
      <formula>N134&gt;F134</formula>
    </cfRule>
  </conditionalFormatting>
  <conditionalFormatting sqref="G134">
    <cfRule type="expression" dxfId="2367" priority="872">
      <formula>G134&gt;F134</formula>
    </cfRule>
  </conditionalFormatting>
  <conditionalFormatting sqref="K134">
    <cfRule type="expression" dxfId="2366" priority="876">
      <formula>$AD134=4</formula>
    </cfRule>
    <cfRule type="expression" dxfId="2365" priority="877">
      <formula>$AD134=3</formula>
    </cfRule>
    <cfRule type="expression" dxfId="2364" priority="878">
      <formula>$AD134=2</formula>
    </cfRule>
    <cfRule type="expression" dxfId="2363" priority="879">
      <formula>$AD134=1</formula>
    </cfRule>
  </conditionalFormatting>
  <conditionalFormatting sqref="K134">
    <cfRule type="expression" dxfId="2362" priority="875">
      <formula>$AC134=2</formula>
    </cfRule>
  </conditionalFormatting>
  <conditionalFormatting sqref="L134">
    <cfRule type="expression" dxfId="2361" priority="874">
      <formula>$AC134=2</formula>
    </cfRule>
  </conditionalFormatting>
  <conditionalFormatting sqref="G134">
    <cfRule type="expression" dxfId="2360" priority="873">
      <formula>$AC134=2</formula>
    </cfRule>
  </conditionalFormatting>
  <conditionalFormatting sqref="O134">
    <cfRule type="expression" dxfId="2359" priority="871">
      <formula>$AC134=2</formula>
    </cfRule>
  </conditionalFormatting>
  <conditionalFormatting sqref="V134">
    <cfRule type="expression" dxfId="2358" priority="870">
      <formula>$AC134=2</formula>
    </cfRule>
  </conditionalFormatting>
  <conditionalFormatting sqref="U134">
    <cfRule type="expression" dxfId="2357" priority="869">
      <formula>$AC134=2</formula>
    </cfRule>
  </conditionalFormatting>
  <conditionalFormatting sqref="U134">
    <cfRule type="expression" dxfId="2356" priority="868">
      <formula>U134&gt;F134</formula>
    </cfRule>
  </conditionalFormatting>
  <conditionalFormatting sqref="J196:K196">
    <cfRule type="expression" dxfId="2355" priority="862">
      <formula>$AD196=4</formula>
    </cfRule>
    <cfRule type="expression" dxfId="2354" priority="863">
      <formula>$AD196=3</formula>
    </cfRule>
    <cfRule type="expression" dxfId="2353" priority="864">
      <formula>$AD196=2</formula>
    </cfRule>
    <cfRule type="expression" dxfId="2352" priority="865">
      <formula>$AD196=1</formula>
    </cfRule>
  </conditionalFormatting>
  <conditionalFormatting sqref="Q196:R196">
    <cfRule type="expression" dxfId="2351" priority="858">
      <formula>$AE196=4</formula>
    </cfRule>
    <cfRule type="expression" dxfId="2350" priority="859">
      <formula>$AE196=3</formula>
    </cfRule>
    <cfRule type="expression" dxfId="2349" priority="860">
      <formula>$AE196=2</formula>
    </cfRule>
    <cfRule type="expression" dxfId="2348" priority="861">
      <formula>$AE196=1</formula>
    </cfRule>
  </conditionalFormatting>
  <conditionalFormatting sqref="X196:Y196">
    <cfRule type="expression" dxfId="2347" priority="854">
      <formula>$AF196=4</formula>
    </cfRule>
    <cfRule type="expression" dxfId="2346" priority="855">
      <formula>$AF196=3</formula>
    </cfRule>
    <cfRule type="expression" dxfId="2345" priority="856">
      <formula>$AF196=2</formula>
    </cfRule>
    <cfRule type="expression" dxfId="2344" priority="857">
      <formula>$AF196=1</formula>
    </cfRule>
  </conditionalFormatting>
  <conditionalFormatting sqref="AZ196">
    <cfRule type="expression" dxfId="2343" priority="853">
      <formula>$AC196=2</formula>
    </cfRule>
  </conditionalFormatting>
  <conditionalFormatting sqref="G196">
    <cfRule type="expression" dxfId="2342" priority="852">
      <formula>G196&gt;F196</formula>
    </cfRule>
  </conditionalFormatting>
  <conditionalFormatting sqref="N196">
    <cfRule type="expression" dxfId="2341" priority="851">
      <formula>N196&gt;F196</formula>
    </cfRule>
  </conditionalFormatting>
  <conditionalFormatting sqref="U196">
    <cfRule type="expression" dxfId="2340" priority="850">
      <formula>U196&gt;F196</formula>
    </cfRule>
  </conditionalFormatting>
  <conditionalFormatting sqref="Q195:R195">
    <cfRule type="expression" dxfId="2339" priority="838">
      <formula>$AE195=4</formula>
    </cfRule>
    <cfRule type="expression" dxfId="2338" priority="839">
      <formula>$AE195=3</formula>
    </cfRule>
    <cfRule type="expression" dxfId="2337" priority="840">
      <formula>$AE195=2</formula>
    </cfRule>
    <cfRule type="expression" dxfId="2336" priority="841">
      <formula>$AE195=1</formula>
    </cfRule>
  </conditionalFormatting>
  <conditionalFormatting sqref="H195:I195">
    <cfRule type="expression" dxfId="2335" priority="837">
      <formula>$AC195=2</formula>
    </cfRule>
  </conditionalFormatting>
  <conditionalFormatting sqref="J195:K195">
    <cfRule type="expression" dxfId="2334" priority="830">
      <formula>$AD195=4</formula>
    </cfRule>
    <cfRule type="expression" dxfId="2333" priority="831">
      <formula>$AD195=3</formula>
    </cfRule>
    <cfRule type="expression" dxfId="2332" priority="832">
      <formula>$AD195=2</formula>
    </cfRule>
    <cfRule type="expression" dxfId="2331" priority="833">
      <formula>$AD195=1</formula>
    </cfRule>
  </conditionalFormatting>
  <conditionalFormatting sqref="J195:K195">
    <cfRule type="expression" dxfId="2330" priority="829">
      <formula>$AC195=2</formula>
    </cfRule>
  </conditionalFormatting>
  <conditionalFormatting sqref="L195">
    <cfRule type="expression" dxfId="2329" priority="828">
      <formula>$AC195=2</formula>
    </cfRule>
  </conditionalFormatting>
  <conditionalFormatting sqref="O195">
    <cfRule type="expression" dxfId="2328" priority="827">
      <formula>$AC195=2</formula>
    </cfRule>
  </conditionalFormatting>
  <conditionalFormatting sqref="G195">
    <cfRule type="expression" dxfId="2327" priority="826">
      <formula>$AC195=2</formula>
    </cfRule>
  </conditionalFormatting>
  <conditionalFormatting sqref="G195">
    <cfRule type="expression" dxfId="2326" priority="825">
      <formula>G195&gt;F195</formula>
    </cfRule>
  </conditionalFormatting>
  <conditionalFormatting sqref="N195">
    <cfRule type="expression" dxfId="2325" priority="824">
      <formula>$AC195=2</formula>
    </cfRule>
  </conditionalFormatting>
  <conditionalFormatting sqref="N195">
    <cfRule type="expression" dxfId="2324" priority="823">
      <formula>N195&gt;F195</formula>
    </cfRule>
  </conditionalFormatting>
  <conditionalFormatting sqref="U195">
    <cfRule type="expression" dxfId="2323" priority="820">
      <formula>$AC195=2</formula>
    </cfRule>
  </conditionalFormatting>
  <conditionalFormatting sqref="U195">
    <cfRule type="expression" dxfId="2322" priority="819">
      <formula>U195&gt;F195</formula>
    </cfRule>
  </conditionalFormatting>
  <conditionalFormatting sqref="G25:I25">
    <cfRule type="expression" dxfId="2321" priority="816">
      <formula>$AC25=2</formula>
    </cfRule>
  </conditionalFormatting>
  <conditionalFormatting sqref="L25">
    <cfRule type="expression" dxfId="2320" priority="810">
      <formula>$AC25=2</formula>
    </cfRule>
  </conditionalFormatting>
  <conditionalFormatting sqref="G25">
    <cfRule type="expression" dxfId="2319" priority="809">
      <formula>G25&gt;F25</formula>
    </cfRule>
  </conditionalFormatting>
  <conditionalFormatting sqref="J25:K25">
    <cfRule type="expression" dxfId="2318" priority="812">
      <formula>$AD25=4</formula>
    </cfRule>
    <cfRule type="expression" dxfId="2317" priority="813">
      <formula>$AD25=3</formula>
    </cfRule>
    <cfRule type="expression" dxfId="2316" priority="814">
      <formula>$AD25=2</formula>
    </cfRule>
    <cfRule type="expression" dxfId="2315" priority="815">
      <formula>$AD25=1</formula>
    </cfRule>
  </conditionalFormatting>
  <conditionalFormatting sqref="J25:K25">
    <cfRule type="expression" dxfId="2314" priority="811">
      <formula>$AC25=2</formula>
    </cfRule>
  </conditionalFormatting>
  <conditionalFormatting sqref="Q25:R25">
    <cfRule type="expression" dxfId="2313" priority="805">
      <formula>$AE25=4</formula>
    </cfRule>
    <cfRule type="expression" dxfId="2312" priority="806">
      <formula>$AE25=3</formula>
    </cfRule>
    <cfRule type="expression" dxfId="2311" priority="807">
      <formula>$AE25=2</formula>
    </cfRule>
    <cfRule type="expression" dxfId="2310" priority="808">
      <formula>$AE25=1</formula>
    </cfRule>
  </conditionalFormatting>
  <conditionalFormatting sqref="X25:Y25">
    <cfRule type="expression" dxfId="2309" priority="801">
      <formula>$AF25=4</formula>
    </cfRule>
    <cfRule type="expression" dxfId="2308" priority="802">
      <formula>$AF25=3</formula>
    </cfRule>
    <cfRule type="expression" dxfId="2307" priority="803">
      <formula>$AF25=2</formula>
    </cfRule>
    <cfRule type="expression" dxfId="2306" priority="804">
      <formula>$AF25=1</formula>
    </cfRule>
  </conditionalFormatting>
  <conditionalFormatting sqref="N25">
    <cfRule type="expression" dxfId="2305" priority="800">
      <formula>$AC25=2</formula>
    </cfRule>
  </conditionalFormatting>
  <conditionalFormatting sqref="N25">
    <cfRule type="expression" dxfId="2304" priority="799">
      <formula>N25&gt;F25</formula>
    </cfRule>
  </conditionalFormatting>
  <conditionalFormatting sqref="O25">
    <cfRule type="expression" dxfId="2303" priority="793">
      <formula>$AC25=2</formula>
    </cfRule>
  </conditionalFormatting>
  <conditionalFormatting sqref="V25">
    <cfRule type="expression" dxfId="2302" priority="792">
      <formula>$AC25=2</formula>
    </cfRule>
  </conditionalFormatting>
  <conditionalFormatting sqref="U25">
    <cfRule type="expression" dxfId="2301" priority="791">
      <formula>$AC25=2</formula>
    </cfRule>
  </conditionalFormatting>
  <conditionalFormatting sqref="U25">
    <cfRule type="expression" dxfId="2300" priority="790">
      <formula>U25&gt;F25</formula>
    </cfRule>
  </conditionalFormatting>
  <conditionalFormatting sqref="G26:I26">
    <cfRule type="expression" dxfId="2299" priority="787">
      <formula>$AC26=2</formula>
    </cfRule>
  </conditionalFormatting>
  <conditionalFormatting sqref="L26">
    <cfRule type="expression" dxfId="2298" priority="781">
      <formula>$AC26=2</formula>
    </cfRule>
  </conditionalFormatting>
  <conditionalFormatting sqref="G26">
    <cfRule type="expression" dxfId="2297" priority="780">
      <formula>G26&gt;F26</formula>
    </cfRule>
  </conditionalFormatting>
  <conditionalFormatting sqref="J26:K26">
    <cfRule type="expression" dxfId="2296" priority="783">
      <formula>$AD26=4</formula>
    </cfRule>
    <cfRule type="expression" dxfId="2295" priority="784">
      <formula>$AD26=3</formula>
    </cfRule>
    <cfRule type="expression" dxfId="2294" priority="785">
      <formula>$AD26=2</formula>
    </cfRule>
    <cfRule type="expression" dxfId="2293" priority="786">
      <formula>$AD26=1</formula>
    </cfRule>
  </conditionalFormatting>
  <conditionalFormatting sqref="J26:K26">
    <cfRule type="expression" dxfId="2292" priority="782">
      <formula>$AC26=2</formula>
    </cfRule>
  </conditionalFormatting>
  <conditionalFormatting sqref="Q26:R26">
    <cfRule type="expression" dxfId="2291" priority="776">
      <formula>$AE26=4</formula>
    </cfRule>
    <cfRule type="expression" dxfId="2290" priority="777">
      <formula>$AE26=3</formula>
    </cfRule>
    <cfRule type="expression" dxfId="2289" priority="778">
      <formula>$AE26=2</formula>
    </cfRule>
    <cfRule type="expression" dxfId="2288" priority="779">
      <formula>$AE26=1</formula>
    </cfRule>
  </conditionalFormatting>
  <conditionalFormatting sqref="X26:Y26">
    <cfRule type="expression" dxfId="2287" priority="772">
      <formula>$AF26=4</formula>
    </cfRule>
    <cfRule type="expression" dxfId="2286" priority="773">
      <formula>$AF26=3</formula>
    </cfRule>
    <cfRule type="expression" dxfId="2285" priority="774">
      <formula>$AF26=2</formula>
    </cfRule>
    <cfRule type="expression" dxfId="2284" priority="775">
      <formula>$AF26=1</formula>
    </cfRule>
  </conditionalFormatting>
  <conditionalFormatting sqref="N26">
    <cfRule type="expression" dxfId="2283" priority="771">
      <formula>$AC26=2</formula>
    </cfRule>
  </conditionalFormatting>
  <conditionalFormatting sqref="N26">
    <cfRule type="expression" dxfId="2282" priority="770">
      <formula>N26&gt;F26</formula>
    </cfRule>
  </conditionalFormatting>
  <conditionalFormatting sqref="O26">
    <cfRule type="expression" dxfId="2281" priority="764">
      <formula>$AC26=2</formula>
    </cfRule>
  </conditionalFormatting>
  <conditionalFormatting sqref="V26">
    <cfRule type="expression" dxfId="2280" priority="763">
      <formula>$AC26=2</formula>
    </cfRule>
  </conditionalFormatting>
  <conditionalFormatting sqref="U26">
    <cfRule type="expression" dxfId="2279" priority="762">
      <formula>$AC26=2</formula>
    </cfRule>
  </conditionalFormatting>
  <conditionalFormatting sqref="U26">
    <cfRule type="expression" dxfId="2278" priority="761">
      <formula>U26&gt;F26</formula>
    </cfRule>
  </conditionalFormatting>
  <conditionalFormatting sqref="H11:H38 H85:H97 H40:H68 H99:H103 H153:H163 H165:H224 H70:H83 H105:H135 H149:H151 H137:H147">
    <cfRule type="expression" dxfId="2277" priority="758">
      <formula>F11=0</formula>
    </cfRule>
  </conditionalFormatting>
  <conditionalFormatting sqref="I11:I38 I85:I97 I40:I68 I99:I103 I153:I163 I165:I224 I70:I83 I105:I135 I149:I151 I137:I147">
    <cfRule type="expression" dxfId="2276" priority="757">
      <formula>F11=0</formula>
    </cfRule>
  </conditionalFormatting>
  <conditionalFormatting sqref="O85:O97 O99:O103 O11:O38 O189:O224 O153:O163 O165:O187 O40:O83 O105:O135 O149:O151 O137:O147">
    <cfRule type="expression" dxfId="2275" priority="3032">
      <formula>F11=0</formula>
    </cfRule>
  </conditionalFormatting>
  <conditionalFormatting sqref="V85:V97 V16:V38 V99:V103 V11:V14 V189:V224 V153:V163 V165:V187 V40:V83 V105:V135 V149:V151 V137:V147">
    <cfRule type="expression" dxfId="2274" priority="2245">
      <formula>F11=0</formula>
    </cfRule>
  </conditionalFormatting>
  <conditionalFormatting sqref="AZ84">
    <cfRule type="expression" dxfId="2273" priority="754">
      <formula>$AC84=2</formula>
    </cfRule>
  </conditionalFormatting>
  <conditionalFormatting sqref="AB84">
    <cfRule type="expression" dxfId="2272" priority="752">
      <formula>$AJ$4="Nei"</formula>
    </cfRule>
    <cfRule type="expression" dxfId="2271" priority="753">
      <formula>$AC84=2</formula>
    </cfRule>
  </conditionalFormatting>
  <conditionalFormatting sqref="Q84:R84">
    <cfRule type="expression" dxfId="2270" priority="748">
      <formula>$AE84=4</formula>
    </cfRule>
    <cfRule type="expression" dxfId="2269" priority="749">
      <formula>$AE84=3</formula>
    </cfRule>
    <cfRule type="expression" dxfId="2268" priority="750">
      <formula>$AE84=2</formula>
    </cfRule>
    <cfRule type="expression" dxfId="2267" priority="751">
      <formula>$AE84=1</formula>
    </cfRule>
  </conditionalFormatting>
  <conditionalFormatting sqref="X84:Y84">
    <cfRule type="expression" dxfId="2266" priority="744">
      <formula>$AF84=4</formula>
    </cfRule>
    <cfRule type="expression" dxfId="2265" priority="745">
      <formula>$AF84=3</formula>
    </cfRule>
    <cfRule type="expression" dxfId="2264" priority="746">
      <formula>$AF84=2</formula>
    </cfRule>
    <cfRule type="expression" dxfId="2263" priority="747">
      <formula>$AF84=1</formula>
    </cfRule>
  </conditionalFormatting>
  <conditionalFormatting sqref="N84">
    <cfRule type="expression" dxfId="2262" priority="743">
      <formula>$AC84=2</formula>
    </cfRule>
  </conditionalFormatting>
  <conditionalFormatting sqref="N84">
    <cfRule type="expression" dxfId="2261" priority="742">
      <formula>N84&gt;F84</formula>
    </cfRule>
  </conditionalFormatting>
  <conditionalFormatting sqref="G84">
    <cfRule type="expression" dxfId="2260" priority="729">
      <formula>G84&gt;F84</formula>
    </cfRule>
  </conditionalFormatting>
  <conditionalFormatting sqref="J84:K84">
    <cfRule type="expression" dxfId="2259" priority="733">
      <formula>$AD84=4</formula>
    </cfRule>
    <cfRule type="expression" dxfId="2258" priority="734">
      <formula>$AD84=3</formula>
    </cfRule>
    <cfRule type="expression" dxfId="2257" priority="735">
      <formula>$AD84=2</formula>
    </cfRule>
    <cfRule type="expression" dxfId="2256" priority="736">
      <formula>$AD84=1</formula>
    </cfRule>
  </conditionalFormatting>
  <conditionalFormatting sqref="J84:K84">
    <cfRule type="expression" dxfId="2255" priority="732">
      <formula>$AC84=2</formula>
    </cfRule>
  </conditionalFormatting>
  <conditionalFormatting sqref="L84">
    <cfRule type="expression" dxfId="2254" priority="731">
      <formula>$AC84=2</formula>
    </cfRule>
  </conditionalFormatting>
  <conditionalFormatting sqref="G84">
    <cfRule type="expression" dxfId="2253" priority="730">
      <formula>$AC84=2</formula>
    </cfRule>
  </conditionalFormatting>
  <conditionalFormatting sqref="O84">
    <cfRule type="expression" dxfId="2252" priority="728">
      <formula>$AC84=2</formula>
    </cfRule>
  </conditionalFormatting>
  <conditionalFormatting sqref="V84">
    <cfRule type="expression" dxfId="2251" priority="727">
      <formula>$AC84=2</formula>
    </cfRule>
  </conditionalFormatting>
  <conditionalFormatting sqref="U84">
    <cfRule type="expression" dxfId="2250" priority="726">
      <formula>$AC84=2</formula>
    </cfRule>
  </conditionalFormatting>
  <conditionalFormatting sqref="U84">
    <cfRule type="expression" dxfId="2249" priority="725">
      <formula>U84&gt;F84</formula>
    </cfRule>
  </conditionalFormatting>
  <conditionalFormatting sqref="H84">
    <cfRule type="expression" dxfId="2248" priority="722">
      <formula>F84=0</formula>
    </cfRule>
  </conditionalFormatting>
  <conditionalFormatting sqref="I84">
    <cfRule type="expression" dxfId="2247" priority="721">
      <formula>F84=0</formula>
    </cfRule>
  </conditionalFormatting>
  <conditionalFormatting sqref="O84">
    <cfRule type="expression" dxfId="2246" priority="720">
      <formula>F84=0</formula>
    </cfRule>
  </conditionalFormatting>
  <conditionalFormatting sqref="V84">
    <cfRule type="expression" dxfId="2245" priority="719">
      <formula>F84=0</formula>
    </cfRule>
  </conditionalFormatting>
  <conditionalFormatting sqref="AZ98">
    <cfRule type="expression" dxfId="2244" priority="718">
      <formula>$AC98=2</formula>
    </cfRule>
  </conditionalFormatting>
  <conditionalFormatting sqref="AB98">
    <cfRule type="expression" dxfId="2243" priority="716">
      <formula>$AJ$4="Nei"</formula>
    </cfRule>
    <cfRule type="expression" dxfId="2242" priority="717">
      <formula>$AC98=2</formula>
    </cfRule>
  </conditionalFormatting>
  <conditionalFormatting sqref="Q98:R98">
    <cfRule type="expression" dxfId="2241" priority="712">
      <formula>$AE98=4</formula>
    </cfRule>
    <cfRule type="expression" dxfId="2240" priority="713">
      <formula>$AE98=3</formula>
    </cfRule>
    <cfRule type="expression" dxfId="2239" priority="714">
      <formula>$AE98=2</formula>
    </cfRule>
    <cfRule type="expression" dxfId="2238" priority="715">
      <formula>$AE98=1</formula>
    </cfRule>
  </conditionalFormatting>
  <conditionalFormatting sqref="X98:Y98">
    <cfRule type="expression" dxfId="2237" priority="708">
      <formula>$AF98=4</formula>
    </cfRule>
    <cfRule type="expression" dxfId="2236" priority="709">
      <formula>$AF98=3</formula>
    </cfRule>
    <cfRule type="expression" dxfId="2235" priority="710">
      <formula>$AF98=2</formula>
    </cfRule>
    <cfRule type="expression" dxfId="2234" priority="711">
      <formula>$AF98=1</formula>
    </cfRule>
  </conditionalFormatting>
  <conditionalFormatting sqref="X98:Y98">
    <cfRule type="expression" dxfId="2233" priority="707">
      <formula>$AC98=2</formula>
    </cfRule>
  </conditionalFormatting>
  <conditionalFormatting sqref="J98:K98">
    <cfRule type="expression" dxfId="2232" priority="698">
      <formula>$AD98=4</formula>
    </cfRule>
    <cfRule type="expression" dxfId="2231" priority="699">
      <formula>$AD98=3</formula>
    </cfRule>
    <cfRule type="expression" dxfId="2230" priority="700">
      <formula>$AD98=2</formula>
    </cfRule>
    <cfRule type="expression" dxfId="2229" priority="701">
      <formula>$AD98=1</formula>
    </cfRule>
  </conditionalFormatting>
  <conditionalFormatting sqref="J98:K98">
    <cfRule type="expression" dxfId="2228" priority="697">
      <formula>$AC98=2</formula>
    </cfRule>
  </conditionalFormatting>
  <conditionalFormatting sqref="L98">
    <cfRule type="expression" dxfId="2227" priority="696">
      <formula>$AC98=2</formula>
    </cfRule>
  </conditionalFormatting>
  <conditionalFormatting sqref="O98">
    <cfRule type="expression" dxfId="2226" priority="695">
      <formula>$AC98=2</formula>
    </cfRule>
  </conditionalFormatting>
  <conditionalFormatting sqref="V98">
    <cfRule type="expression" dxfId="2225" priority="694">
      <formula>$AC98=2</formula>
    </cfRule>
  </conditionalFormatting>
  <conditionalFormatting sqref="G98">
    <cfRule type="expression" dxfId="2224" priority="693">
      <formula>$AC98=2</formula>
    </cfRule>
  </conditionalFormatting>
  <conditionalFormatting sqref="G98">
    <cfRule type="expression" dxfId="2223" priority="692">
      <formula>G98&gt;F98</formula>
    </cfRule>
  </conditionalFormatting>
  <conditionalFormatting sqref="N98">
    <cfRule type="expression" dxfId="2222" priority="691">
      <formula>$AC98=2</formula>
    </cfRule>
  </conditionalFormatting>
  <conditionalFormatting sqref="N98">
    <cfRule type="expression" dxfId="2221" priority="690">
      <formula>N98&gt;F98</formula>
    </cfRule>
  </conditionalFormatting>
  <conditionalFormatting sqref="U98">
    <cfRule type="expression" dxfId="2220" priority="687">
      <formula>$AC98=2</formula>
    </cfRule>
  </conditionalFormatting>
  <conditionalFormatting sqref="U98">
    <cfRule type="expression" dxfId="2219" priority="686">
      <formula>U98&gt;F98</formula>
    </cfRule>
  </conditionalFormatting>
  <conditionalFormatting sqref="H98">
    <cfRule type="expression" dxfId="2218" priority="683">
      <formula>F98=0</formula>
    </cfRule>
  </conditionalFormatting>
  <conditionalFormatting sqref="I98">
    <cfRule type="expression" dxfId="2217" priority="682">
      <formula>F98=0</formula>
    </cfRule>
  </conditionalFormatting>
  <conditionalFormatting sqref="O98">
    <cfRule type="expression" dxfId="2216" priority="681">
      <formula>F98=0</formula>
    </cfRule>
  </conditionalFormatting>
  <conditionalFormatting sqref="V98">
    <cfRule type="expression" dxfId="2215" priority="680">
      <formula>F98=0</formula>
    </cfRule>
  </conditionalFormatting>
  <conditionalFormatting sqref="X15:Y15">
    <cfRule type="expression" dxfId="2214" priority="676">
      <formula>$AF15=4</formula>
    </cfRule>
    <cfRule type="expression" dxfId="2213" priority="677">
      <formula>$AF15=3</formula>
    </cfRule>
    <cfRule type="expression" dxfId="2212" priority="678">
      <formula>$AF15=2</formula>
    </cfRule>
    <cfRule type="expression" dxfId="2211" priority="679">
      <formula>$AF15=1</formula>
    </cfRule>
  </conditionalFormatting>
  <conditionalFormatting sqref="X15:Y15">
    <cfRule type="expression" dxfId="2210" priority="675">
      <formula>$AC15=2</formula>
    </cfRule>
  </conditionalFormatting>
  <conditionalFormatting sqref="V15">
    <cfRule type="expression" dxfId="2209" priority="672">
      <formula>$AC15=2</formula>
    </cfRule>
  </conditionalFormatting>
  <conditionalFormatting sqref="U15">
    <cfRule type="expression" dxfId="2208" priority="671">
      <formula>$AC15=2</formula>
    </cfRule>
  </conditionalFormatting>
  <conditionalFormatting sqref="U15">
    <cfRule type="expression" dxfId="2207" priority="670">
      <formula>U15&gt;F15</formula>
    </cfRule>
  </conditionalFormatting>
  <conditionalFormatting sqref="V15">
    <cfRule type="expression" dxfId="2206" priority="667">
      <formula>F15=0</formula>
    </cfRule>
  </conditionalFormatting>
  <conditionalFormatting sqref="L171">
    <cfRule type="expression" dxfId="2205" priority="665">
      <formula>$AC171=2</formula>
    </cfRule>
  </conditionalFormatting>
  <conditionalFormatting sqref="L175">
    <cfRule type="expression" dxfId="2204" priority="658">
      <formula>$AC175=2</formula>
    </cfRule>
  </conditionalFormatting>
  <conditionalFormatting sqref="J132:J135">
    <cfRule type="expression" dxfId="2203" priority="652">
      <formula>$AD132=4</formula>
    </cfRule>
    <cfRule type="expression" dxfId="2202" priority="653">
      <formula>$AD132=3</formula>
    </cfRule>
    <cfRule type="expression" dxfId="2201" priority="654">
      <formula>$AD132=2</formula>
    </cfRule>
    <cfRule type="expression" dxfId="2200" priority="655">
      <formula>$AD132=1</formula>
    </cfRule>
  </conditionalFormatting>
  <conditionalFormatting sqref="J132:J135">
    <cfRule type="expression" dxfId="2199" priority="651">
      <formula>$AC132=2</formula>
    </cfRule>
  </conditionalFormatting>
  <conditionalFormatting sqref="L14">
    <cfRule type="expression" dxfId="2198" priority="650">
      <formula>$AC14=2</formula>
    </cfRule>
  </conditionalFormatting>
  <conditionalFormatting sqref="P36:P37">
    <cfRule type="expression" dxfId="2197" priority="639">
      <formula>$AE36=4</formula>
    </cfRule>
    <cfRule type="expression" dxfId="2196" priority="640">
      <formula>$AE36=3</formula>
    </cfRule>
    <cfRule type="expression" dxfId="2195" priority="641">
      <formula>$AE36=2</formula>
    </cfRule>
    <cfRule type="expression" dxfId="2194" priority="642">
      <formula>$AE36=1</formula>
    </cfRule>
  </conditionalFormatting>
  <conditionalFormatting sqref="P36:P37">
    <cfRule type="expression" dxfId="2193" priority="638">
      <formula>$AC36=2</formula>
    </cfRule>
  </conditionalFormatting>
  <conditionalFormatting sqref="P63:P64">
    <cfRule type="expression" dxfId="2192" priority="632">
      <formula>$AE63=4</formula>
    </cfRule>
    <cfRule type="expression" dxfId="2191" priority="633">
      <formula>$AE63=3</formula>
    </cfRule>
    <cfRule type="expression" dxfId="2190" priority="634">
      <formula>$AE63=2</formula>
    </cfRule>
    <cfRule type="expression" dxfId="2189" priority="635">
      <formula>$AE63=1</formula>
    </cfRule>
  </conditionalFormatting>
  <conditionalFormatting sqref="P63:P64">
    <cfRule type="expression" dxfId="2188" priority="631">
      <formula>$AC63=2</formula>
    </cfRule>
  </conditionalFormatting>
  <conditionalFormatting sqref="P92:P93">
    <cfRule type="expression" dxfId="2187" priority="625">
      <formula>$AE92=4</formula>
    </cfRule>
    <cfRule type="expression" dxfId="2186" priority="626">
      <formula>$AE92=3</formula>
    </cfRule>
    <cfRule type="expression" dxfId="2185" priority="627">
      <formula>$AE92=2</formula>
    </cfRule>
    <cfRule type="expression" dxfId="2184" priority="628">
      <formula>$AE92=1</formula>
    </cfRule>
  </conditionalFormatting>
  <conditionalFormatting sqref="P92:P93">
    <cfRule type="expression" dxfId="2183" priority="624">
      <formula>$AC92=2</formula>
    </cfRule>
  </conditionalFormatting>
  <conditionalFormatting sqref="P101:P102">
    <cfRule type="expression" dxfId="2182" priority="618">
      <formula>$AE101=4</formula>
    </cfRule>
    <cfRule type="expression" dxfId="2181" priority="619">
      <formula>$AE101=3</formula>
    </cfRule>
    <cfRule type="expression" dxfId="2180" priority="620">
      <formula>$AE101=2</formula>
    </cfRule>
    <cfRule type="expression" dxfId="2179" priority="621">
      <formula>$AE101=1</formula>
    </cfRule>
  </conditionalFormatting>
  <conditionalFormatting sqref="P101:P102">
    <cfRule type="expression" dxfId="2178" priority="617">
      <formula>$AC101=2</formula>
    </cfRule>
  </conditionalFormatting>
  <conditionalFormatting sqref="P115:P116">
    <cfRule type="expression" dxfId="2177" priority="611">
      <formula>$AE115=4</formula>
    </cfRule>
    <cfRule type="expression" dxfId="2176" priority="612">
      <formula>$AE115=3</formula>
    </cfRule>
    <cfRule type="expression" dxfId="2175" priority="613">
      <formula>$AE115=2</formula>
    </cfRule>
    <cfRule type="expression" dxfId="2174" priority="614">
      <formula>$AE115=1</formula>
    </cfRule>
  </conditionalFormatting>
  <conditionalFormatting sqref="P115:P116">
    <cfRule type="expression" dxfId="2173" priority="610">
      <formula>$AC115=2</formula>
    </cfRule>
  </conditionalFormatting>
  <conditionalFormatting sqref="P145:P146">
    <cfRule type="expression" dxfId="2172" priority="604">
      <formula>$AE145=4</formula>
    </cfRule>
    <cfRule type="expression" dxfId="2171" priority="605">
      <formula>$AE145=3</formula>
    </cfRule>
    <cfRule type="expression" dxfId="2170" priority="606">
      <formula>$AE145=2</formula>
    </cfRule>
    <cfRule type="expression" dxfId="2169" priority="607">
      <formula>$AE145=1</formula>
    </cfRule>
  </conditionalFormatting>
  <conditionalFormatting sqref="P145:P146">
    <cfRule type="expression" dxfId="2168" priority="603">
      <formula>$AC145=2</formula>
    </cfRule>
  </conditionalFormatting>
  <conditionalFormatting sqref="P160:P161">
    <cfRule type="expression" dxfId="2167" priority="597">
      <formula>$AE160=4</formula>
    </cfRule>
    <cfRule type="expression" dxfId="2166" priority="598">
      <formula>$AE160=3</formula>
    </cfRule>
    <cfRule type="expression" dxfId="2165" priority="599">
      <formula>$AE160=2</formula>
    </cfRule>
    <cfRule type="expression" dxfId="2164" priority="600">
      <formula>$AE160=1</formula>
    </cfRule>
  </conditionalFormatting>
  <conditionalFormatting sqref="P160:P161">
    <cfRule type="expression" dxfId="2163" priority="596">
      <formula>$AC160=2</formula>
    </cfRule>
  </conditionalFormatting>
  <conditionalFormatting sqref="P191:P192">
    <cfRule type="expression" dxfId="2162" priority="590">
      <formula>$AE191=4</formula>
    </cfRule>
    <cfRule type="expression" dxfId="2161" priority="591">
      <formula>$AE191=3</formula>
    </cfRule>
    <cfRule type="expression" dxfId="2160" priority="592">
      <formula>$AE191=2</formula>
    </cfRule>
    <cfRule type="expression" dxfId="2159" priority="593">
      <formula>$AE191=1</formula>
    </cfRule>
  </conditionalFormatting>
  <conditionalFormatting sqref="P191:P192">
    <cfRule type="expression" dxfId="2158" priority="589">
      <formula>$AC191=2</formula>
    </cfRule>
  </conditionalFormatting>
  <conditionalFormatting sqref="P208:P209">
    <cfRule type="expression" dxfId="2157" priority="583">
      <formula>$AE208=4</formula>
    </cfRule>
    <cfRule type="expression" dxfId="2156" priority="584">
      <formula>$AE208=3</formula>
    </cfRule>
    <cfRule type="expression" dxfId="2155" priority="585">
      <formula>$AE208=2</formula>
    </cfRule>
    <cfRule type="expression" dxfId="2154" priority="586">
      <formula>$AE208=1</formula>
    </cfRule>
  </conditionalFormatting>
  <conditionalFormatting sqref="P208:P209">
    <cfRule type="expression" dxfId="2153" priority="582">
      <formula>$AC208=2</formula>
    </cfRule>
  </conditionalFormatting>
  <conditionalFormatting sqref="W36:W37">
    <cfRule type="expression" dxfId="2152" priority="554">
      <formula>$AE36=4</formula>
    </cfRule>
    <cfRule type="expression" dxfId="2151" priority="555">
      <formula>$AE36=3</formula>
    </cfRule>
    <cfRule type="expression" dxfId="2150" priority="556">
      <formula>$AE36=2</formula>
    </cfRule>
    <cfRule type="expression" dxfId="2149" priority="557">
      <formula>$AE36=1</formula>
    </cfRule>
  </conditionalFormatting>
  <conditionalFormatting sqref="W36:W37">
    <cfRule type="expression" dxfId="2148" priority="553">
      <formula>$AC36=2</formula>
    </cfRule>
  </conditionalFormatting>
  <conditionalFormatting sqref="W63:W64">
    <cfRule type="expression" dxfId="2147" priority="547">
      <formula>$AE63=4</formula>
    </cfRule>
    <cfRule type="expression" dxfId="2146" priority="548">
      <formula>$AE63=3</formula>
    </cfRule>
    <cfRule type="expression" dxfId="2145" priority="549">
      <formula>$AE63=2</formula>
    </cfRule>
    <cfRule type="expression" dxfId="2144" priority="550">
      <formula>$AE63=1</formula>
    </cfRule>
  </conditionalFormatting>
  <conditionalFormatting sqref="W63:W64">
    <cfRule type="expression" dxfId="2143" priority="546">
      <formula>$AC63=2</formula>
    </cfRule>
  </conditionalFormatting>
  <conditionalFormatting sqref="W92:W93">
    <cfRule type="expression" dxfId="2142" priority="540">
      <formula>$AE92=4</formula>
    </cfRule>
    <cfRule type="expression" dxfId="2141" priority="541">
      <formula>$AE92=3</formula>
    </cfRule>
    <cfRule type="expression" dxfId="2140" priority="542">
      <formula>$AE92=2</formula>
    </cfRule>
    <cfRule type="expression" dxfId="2139" priority="543">
      <formula>$AE92=1</formula>
    </cfRule>
  </conditionalFormatting>
  <conditionalFormatting sqref="W92:W93">
    <cfRule type="expression" dxfId="2138" priority="539">
      <formula>$AC92=2</formula>
    </cfRule>
  </conditionalFormatting>
  <conditionalFormatting sqref="W101:W102">
    <cfRule type="expression" dxfId="2137" priority="533">
      <formula>$AE101=4</formula>
    </cfRule>
    <cfRule type="expression" dxfId="2136" priority="534">
      <formula>$AE101=3</formula>
    </cfRule>
    <cfRule type="expression" dxfId="2135" priority="535">
      <formula>$AE101=2</formula>
    </cfRule>
    <cfRule type="expression" dxfId="2134" priority="536">
      <formula>$AE101=1</formula>
    </cfRule>
  </conditionalFormatting>
  <conditionalFormatting sqref="W101:W102">
    <cfRule type="expression" dxfId="2133" priority="532">
      <formula>$AC101=2</formula>
    </cfRule>
  </conditionalFormatting>
  <conditionalFormatting sqref="W115:W116">
    <cfRule type="expression" dxfId="2132" priority="526">
      <formula>$AE115=4</formula>
    </cfRule>
    <cfRule type="expression" dxfId="2131" priority="527">
      <formula>$AE115=3</formula>
    </cfRule>
    <cfRule type="expression" dxfId="2130" priority="528">
      <formula>$AE115=2</formula>
    </cfRule>
    <cfRule type="expression" dxfId="2129" priority="529">
      <formula>$AE115=1</formula>
    </cfRule>
  </conditionalFormatting>
  <conditionalFormatting sqref="W115:W116">
    <cfRule type="expression" dxfId="2128" priority="525">
      <formula>$AC115=2</formula>
    </cfRule>
  </conditionalFormatting>
  <conditionalFormatting sqref="W145:W146">
    <cfRule type="expression" dxfId="2127" priority="519">
      <formula>$AE145=4</formula>
    </cfRule>
    <cfRule type="expression" dxfId="2126" priority="520">
      <formula>$AE145=3</formula>
    </cfRule>
    <cfRule type="expression" dxfId="2125" priority="521">
      <formula>$AE145=2</formula>
    </cfRule>
    <cfRule type="expression" dxfId="2124" priority="522">
      <formula>$AE145=1</formula>
    </cfRule>
  </conditionalFormatting>
  <conditionalFormatting sqref="W145:W146">
    <cfRule type="expression" dxfId="2123" priority="518">
      <formula>$AC145=2</formula>
    </cfRule>
  </conditionalFormatting>
  <conditionalFormatting sqref="W160:W161">
    <cfRule type="expression" dxfId="2122" priority="512">
      <formula>$AE160=4</formula>
    </cfRule>
    <cfRule type="expression" dxfId="2121" priority="513">
      <formula>$AE160=3</formula>
    </cfRule>
    <cfRule type="expression" dxfId="2120" priority="514">
      <formula>$AE160=2</formula>
    </cfRule>
    <cfRule type="expression" dxfId="2119" priority="515">
      <formula>$AE160=1</formula>
    </cfRule>
  </conditionalFormatting>
  <conditionalFormatting sqref="W160:W161">
    <cfRule type="expression" dxfId="2118" priority="511">
      <formula>$AC160=2</formula>
    </cfRule>
  </conditionalFormatting>
  <conditionalFormatting sqref="W191:W192">
    <cfRule type="expression" dxfId="2117" priority="505">
      <formula>$AE191=4</formula>
    </cfRule>
    <cfRule type="expression" dxfId="2116" priority="506">
      <formula>$AE191=3</formula>
    </cfRule>
    <cfRule type="expression" dxfId="2115" priority="507">
      <formula>$AE191=2</formula>
    </cfRule>
    <cfRule type="expression" dxfId="2114" priority="508">
      <formula>$AE191=1</formula>
    </cfRule>
  </conditionalFormatting>
  <conditionalFormatting sqref="W191:W192">
    <cfRule type="expression" dxfId="2113" priority="504">
      <formula>$AC191=2</formula>
    </cfRule>
  </conditionalFormatting>
  <conditionalFormatting sqref="W208:W209">
    <cfRule type="expression" dxfId="2112" priority="498">
      <formula>$AE208=4</formula>
    </cfRule>
    <cfRule type="expression" dxfId="2111" priority="499">
      <formula>$AE208=3</formula>
    </cfRule>
    <cfRule type="expression" dxfId="2110" priority="500">
      <formula>$AE208=2</formula>
    </cfRule>
    <cfRule type="expression" dxfId="2109" priority="501">
      <formula>$AE208=1</formula>
    </cfRule>
  </conditionalFormatting>
  <conditionalFormatting sqref="W208:W209">
    <cfRule type="expression" dxfId="2108" priority="497">
      <formula>$AC208=2</formula>
    </cfRule>
  </conditionalFormatting>
  <conditionalFormatting sqref="S101:S102 S31 S20 S27 S145:S146 S35:S37 S63:S64 S92:S93 S115:S116 S160:S161 S191:S192 S194 S208:S211 S43:S44 S85 Z194 Z190:Z192 Z159:Z161 Z114:Z116 Z91:Z93 Z62:Z64 Z31 Z100:Z102 Z35:Z37 Z27 Z17:Z20 Z83">
    <cfRule type="expression" dxfId="2107" priority="472">
      <formula>$AA17=2</formula>
    </cfRule>
  </conditionalFormatting>
  <conditionalFormatting sqref="S13">
    <cfRule type="expression" dxfId="2106" priority="467">
      <formula>$AA13=2</formula>
    </cfRule>
  </conditionalFormatting>
  <conditionalFormatting sqref="S16">
    <cfRule type="expression" dxfId="2105" priority="470">
      <formula>$AA16=2</formula>
    </cfRule>
  </conditionalFormatting>
  <conditionalFormatting sqref="S17:S19">
    <cfRule type="expression" dxfId="2104" priority="471">
      <formula>$AA17=2</formula>
    </cfRule>
  </conditionalFormatting>
  <conditionalFormatting sqref="S15">
    <cfRule type="expression" dxfId="2103" priority="469">
      <formula>$AA15=2</formula>
    </cfRule>
  </conditionalFormatting>
  <conditionalFormatting sqref="S14">
    <cfRule type="expression" dxfId="2102" priority="468">
      <formula>$AA14=2</formula>
    </cfRule>
  </conditionalFormatting>
  <conditionalFormatting sqref="S12">
    <cfRule type="expression" dxfId="2101" priority="466">
      <formula>$AA12=2</formula>
    </cfRule>
  </conditionalFormatting>
  <conditionalFormatting sqref="S21">
    <cfRule type="expression" dxfId="2100" priority="465">
      <formula>$AA21=2</formula>
    </cfRule>
  </conditionalFormatting>
  <conditionalFormatting sqref="S22">
    <cfRule type="expression" dxfId="2099" priority="464">
      <formula>$AA22=2</formula>
    </cfRule>
  </conditionalFormatting>
  <conditionalFormatting sqref="S23">
    <cfRule type="expression" dxfId="2098" priority="463">
      <formula>$AA23=2</formula>
    </cfRule>
  </conditionalFormatting>
  <conditionalFormatting sqref="S24">
    <cfRule type="expression" dxfId="2097" priority="462">
      <formula>$AA24=2</formula>
    </cfRule>
  </conditionalFormatting>
  <conditionalFormatting sqref="S28">
    <cfRule type="expression" dxfId="2096" priority="461">
      <formula>$AA28=2</formula>
    </cfRule>
  </conditionalFormatting>
  <conditionalFormatting sqref="S29">
    <cfRule type="expression" dxfId="2095" priority="460">
      <formula>$AA29=2</formula>
    </cfRule>
  </conditionalFormatting>
  <conditionalFormatting sqref="S30">
    <cfRule type="expression" dxfId="2094" priority="459">
      <formula>$AA30=2</formula>
    </cfRule>
  </conditionalFormatting>
  <conditionalFormatting sqref="S32">
    <cfRule type="expression" dxfId="2093" priority="458">
      <formula>$AA32=2</formula>
    </cfRule>
  </conditionalFormatting>
  <conditionalFormatting sqref="S33">
    <cfRule type="expression" dxfId="2092" priority="457">
      <formula>$AA33=2</formula>
    </cfRule>
  </conditionalFormatting>
  <conditionalFormatting sqref="S34">
    <cfRule type="expression" dxfId="2091" priority="456">
      <formula>$AA34=2</formula>
    </cfRule>
  </conditionalFormatting>
  <conditionalFormatting sqref="S38:S39">
    <cfRule type="expression" dxfId="2090" priority="455">
      <formula>$AA38=2</formula>
    </cfRule>
  </conditionalFormatting>
  <conditionalFormatting sqref="S65">
    <cfRule type="expression" dxfId="2089" priority="454">
      <formula>$AA65=2</formula>
    </cfRule>
  </conditionalFormatting>
  <conditionalFormatting sqref="S94">
    <cfRule type="expression" dxfId="2088" priority="453">
      <formula>$AA94=2</formula>
    </cfRule>
  </conditionalFormatting>
  <conditionalFormatting sqref="S103">
    <cfRule type="expression" dxfId="2087" priority="452">
      <formula>$AA103=2</formula>
    </cfRule>
  </conditionalFormatting>
  <conditionalFormatting sqref="S117">
    <cfRule type="expression" dxfId="2086" priority="451">
      <formula>$AA117=2</formula>
    </cfRule>
  </conditionalFormatting>
  <conditionalFormatting sqref="S147">
    <cfRule type="expression" dxfId="2085" priority="450">
      <formula>$AA147=2</formula>
    </cfRule>
  </conditionalFormatting>
  <conditionalFormatting sqref="S162">
    <cfRule type="expression" dxfId="2084" priority="449">
      <formula>$AA162=2</formula>
    </cfRule>
  </conditionalFormatting>
  <conditionalFormatting sqref="S193">
    <cfRule type="expression" dxfId="2083" priority="448">
      <formula>$AA193=2</formula>
    </cfRule>
  </conditionalFormatting>
  <conditionalFormatting sqref="S45">
    <cfRule type="expression" dxfId="2082" priority="447">
      <formula>$AA45=2</formula>
    </cfRule>
  </conditionalFormatting>
  <conditionalFormatting sqref="S50">
    <cfRule type="expression" dxfId="2081" priority="446">
      <formula>$AA50=2</formula>
    </cfRule>
  </conditionalFormatting>
  <conditionalFormatting sqref="S54">
    <cfRule type="expression" dxfId="2080" priority="445">
      <formula>$AA54=2</formula>
    </cfRule>
  </conditionalFormatting>
  <conditionalFormatting sqref="S57">
    <cfRule type="expression" dxfId="2079" priority="444">
      <formula>$AA57=2</formula>
    </cfRule>
  </conditionalFormatting>
  <conditionalFormatting sqref="S60">
    <cfRule type="expression" dxfId="2078" priority="443">
      <formula>$AA60=2</formula>
    </cfRule>
  </conditionalFormatting>
  <conditionalFormatting sqref="S72">
    <cfRule type="expression" dxfId="2077" priority="442">
      <formula>$AA72=2</formula>
    </cfRule>
  </conditionalFormatting>
  <conditionalFormatting sqref="S76">
    <cfRule type="expression" dxfId="2076" priority="441">
      <formula>$AA76=2</formula>
    </cfRule>
  </conditionalFormatting>
  <conditionalFormatting sqref="S79">
    <cfRule type="expression" dxfId="2075" priority="440">
      <formula>$AA79=2</formula>
    </cfRule>
  </conditionalFormatting>
  <conditionalFormatting sqref="S82">
    <cfRule type="expression" dxfId="2074" priority="439">
      <formula>$AA82=2</formula>
    </cfRule>
  </conditionalFormatting>
  <conditionalFormatting sqref="S86">
    <cfRule type="expression" dxfId="2073" priority="438">
      <formula>$AA86=2</formula>
    </cfRule>
  </conditionalFormatting>
  <conditionalFormatting sqref="S89">
    <cfRule type="expression" dxfId="2072" priority="437">
      <formula>$AA89=2</formula>
    </cfRule>
  </conditionalFormatting>
  <conditionalFormatting sqref="S97">
    <cfRule type="expression" dxfId="2071" priority="436">
      <formula>$AA97=2</formula>
    </cfRule>
  </conditionalFormatting>
  <conditionalFormatting sqref="S106">
    <cfRule type="expression" dxfId="2070" priority="435">
      <formula>$AA106=2</formula>
    </cfRule>
  </conditionalFormatting>
  <conditionalFormatting sqref="S108">
    <cfRule type="expression" dxfId="2069" priority="434">
      <formula>$AA108=2</formula>
    </cfRule>
  </conditionalFormatting>
  <conditionalFormatting sqref="S112">
    <cfRule type="expression" dxfId="2068" priority="433">
      <formula>$AA112=2</formula>
    </cfRule>
  </conditionalFormatting>
  <conditionalFormatting sqref="S121">
    <cfRule type="expression" dxfId="2067" priority="432">
      <formula>$AA121=2</formula>
    </cfRule>
  </conditionalFormatting>
  <conditionalFormatting sqref="S125">
    <cfRule type="expression" dxfId="2066" priority="431">
      <formula>$AA125=2</formula>
    </cfRule>
  </conditionalFormatting>
  <conditionalFormatting sqref="S129">
    <cfRule type="expression" dxfId="2065" priority="430">
      <formula>$AA129=2</formula>
    </cfRule>
  </conditionalFormatting>
  <conditionalFormatting sqref="S135">
    <cfRule type="expression" dxfId="2064" priority="429">
      <formula>$AA135=2</formula>
    </cfRule>
  </conditionalFormatting>
  <conditionalFormatting sqref="S140">
    <cfRule type="expression" dxfId="2063" priority="428">
      <formula>$AA140=2</formula>
    </cfRule>
  </conditionalFormatting>
  <conditionalFormatting sqref="S153">
    <cfRule type="expression" dxfId="2062" priority="427">
      <formula>$AA153=2</formula>
    </cfRule>
  </conditionalFormatting>
  <conditionalFormatting sqref="S155">
    <cfRule type="expression" dxfId="2061" priority="426">
      <formula>$AA155=2</formula>
    </cfRule>
  </conditionalFormatting>
  <conditionalFormatting sqref="S157">
    <cfRule type="expression" dxfId="2060" priority="425">
      <formula>$AA157=2</formula>
    </cfRule>
  </conditionalFormatting>
  <conditionalFormatting sqref="S165">
    <cfRule type="expression" dxfId="2059" priority="424">
      <formula>$AA165=2</formula>
    </cfRule>
  </conditionalFormatting>
  <conditionalFormatting sqref="S169">
    <cfRule type="expression" dxfId="2058" priority="423">
      <formula>$AA169=2</formula>
    </cfRule>
  </conditionalFormatting>
  <conditionalFormatting sqref="S176">
    <cfRule type="expression" dxfId="2057" priority="422">
      <formula>$AA176=2</formula>
    </cfRule>
  </conditionalFormatting>
  <conditionalFormatting sqref="S180">
    <cfRule type="expression" dxfId="2056" priority="421">
      <formula>$AA180=2</formula>
    </cfRule>
  </conditionalFormatting>
  <conditionalFormatting sqref="S182">
    <cfRule type="expression" dxfId="2055" priority="420">
      <formula>$AA182=2</formula>
    </cfRule>
  </conditionalFormatting>
  <conditionalFormatting sqref="S185">
    <cfRule type="expression" dxfId="2054" priority="419">
      <formula>$AA185=2</formula>
    </cfRule>
  </conditionalFormatting>
  <conditionalFormatting sqref="S198">
    <cfRule type="expression" dxfId="2053" priority="418">
      <formula>$AA198=2</formula>
    </cfRule>
  </conditionalFormatting>
  <conditionalFormatting sqref="S201">
    <cfRule type="expression" dxfId="2052" priority="417">
      <formula>$AA201=2</formula>
    </cfRule>
  </conditionalFormatting>
  <conditionalFormatting sqref="S204">
    <cfRule type="expression" dxfId="2051" priority="416">
      <formula>$AA204=2</formula>
    </cfRule>
  </conditionalFormatting>
  <conditionalFormatting sqref="S40:S41">
    <cfRule type="expression" dxfId="2050" priority="415">
      <formula>$AA40=2</formula>
    </cfRule>
  </conditionalFormatting>
  <conditionalFormatting sqref="S46:S49">
    <cfRule type="expression" dxfId="2049" priority="414">
      <formula>$AA46=2</formula>
    </cfRule>
  </conditionalFormatting>
  <conditionalFormatting sqref="S51:S53">
    <cfRule type="expression" dxfId="2048" priority="413">
      <formula>$AA51=2</formula>
    </cfRule>
  </conditionalFormatting>
  <conditionalFormatting sqref="S55">
    <cfRule type="expression" dxfId="2047" priority="412">
      <formula>$AA55=2</formula>
    </cfRule>
  </conditionalFormatting>
  <conditionalFormatting sqref="S58:S59">
    <cfRule type="expression" dxfId="2046" priority="411">
      <formula>$AA58=2</formula>
    </cfRule>
  </conditionalFormatting>
  <conditionalFormatting sqref="S61">
    <cfRule type="expression" dxfId="2045" priority="410">
      <formula>$AA61=2</formula>
    </cfRule>
  </conditionalFormatting>
  <conditionalFormatting sqref="S66:S71">
    <cfRule type="expression" dxfId="2044" priority="409">
      <formula>$AA66=2</formula>
    </cfRule>
  </conditionalFormatting>
  <conditionalFormatting sqref="S73:S75">
    <cfRule type="expression" dxfId="2043" priority="408">
      <formula>$AA73=2</formula>
    </cfRule>
  </conditionalFormatting>
  <conditionalFormatting sqref="S77:S78">
    <cfRule type="expression" dxfId="2042" priority="407">
      <formula>$AA77=2</formula>
    </cfRule>
  </conditionalFormatting>
  <conditionalFormatting sqref="S80:S81">
    <cfRule type="expression" dxfId="2041" priority="406">
      <formula>$AA80=2</formula>
    </cfRule>
  </conditionalFormatting>
  <conditionalFormatting sqref="S83">
    <cfRule type="expression" dxfId="2040" priority="405">
      <formula>$AA83=2</formula>
    </cfRule>
  </conditionalFormatting>
  <conditionalFormatting sqref="S87:S88">
    <cfRule type="expression" dxfId="2039" priority="404">
      <formula>$AA87=2</formula>
    </cfRule>
  </conditionalFormatting>
  <conditionalFormatting sqref="S90">
    <cfRule type="expression" dxfId="2038" priority="403">
      <formula>$AA90=2</formula>
    </cfRule>
  </conditionalFormatting>
  <conditionalFormatting sqref="S95:S96">
    <cfRule type="expression" dxfId="2037" priority="402">
      <formula>$AA95=2</formula>
    </cfRule>
  </conditionalFormatting>
  <conditionalFormatting sqref="S99">
    <cfRule type="expression" dxfId="2036" priority="401">
      <formula>$AA99=2</formula>
    </cfRule>
  </conditionalFormatting>
  <conditionalFormatting sqref="S105">
    <cfRule type="expression" dxfId="2035" priority="400">
      <formula>$AA105=2</formula>
    </cfRule>
  </conditionalFormatting>
  <conditionalFormatting sqref="S107">
    <cfRule type="expression" dxfId="2034" priority="399">
      <formula>$AA107=2</formula>
    </cfRule>
  </conditionalFormatting>
  <conditionalFormatting sqref="S109:S111">
    <cfRule type="expression" dxfId="2033" priority="398">
      <formula>$AA109=2</formula>
    </cfRule>
  </conditionalFormatting>
  <conditionalFormatting sqref="S113">
    <cfRule type="expression" dxfId="2032" priority="397">
      <formula>$AA113=2</formula>
    </cfRule>
  </conditionalFormatting>
  <conditionalFormatting sqref="S118:S119">
    <cfRule type="expression" dxfId="2031" priority="396">
      <formula>$AA118=2</formula>
    </cfRule>
  </conditionalFormatting>
  <conditionalFormatting sqref="S120">
    <cfRule type="expression" dxfId="2030" priority="395">
      <formula>$AA120=2</formula>
    </cfRule>
  </conditionalFormatting>
  <conditionalFormatting sqref="S122:S123">
    <cfRule type="expression" dxfId="2029" priority="394">
      <formula>$AA122=2</formula>
    </cfRule>
  </conditionalFormatting>
  <conditionalFormatting sqref="S126:S128">
    <cfRule type="expression" dxfId="2028" priority="393">
      <formula>$AA126=2</formula>
    </cfRule>
  </conditionalFormatting>
  <conditionalFormatting sqref="S130:S133">
    <cfRule type="expression" dxfId="2027" priority="392">
      <formula>$AA130=2</formula>
    </cfRule>
  </conditionalFormatting>
  <conditionalFormatting sqref="S137:S139">
    <cfRule type="expression" dxfId="2026" priority="391">
      <formula>$AA137=2</formula>
    </cfRule>
  </conditionalFormatting>
  <conditionalFormatting sqref="S141:S143">
    <cfRule type="expression" dxfId="2025" priority="390">
      <formula>$AA141=2</formula>
    </cfRule>
  </conditionalFormatting>
  <conditionalFormatting sqref="S149:S152">
    <cfRule type="expression" dxfId="2024" priority="389">
      <formula>$AA149=2</formula>
    </cfRule>
  </conditionalFormatting>
  <conditionalFormatting sqref="S154">
    <cfRule type="expression" dxfId="2023" priority="388">
      <formula>$AA154=2</formula>
    </cfRule>
  </conditionalFormatting>
  <conditionalFormatting sqref="S158">
    <cfRule type="expression" dxfId="2022" priority="387">
      <formula>$AA158=2</formula>
    </cfRule>
  </conditionalFormatting>
  <conditionalFormatting sqref="S163:S164">
    <cfRule type="expression" dxfId="2021" priority="386">
      <formula>$AA163=2</formula>
    </cfRule>
  </conditionalFormatting>
  <conditionalFormatting sqref="S166:S168">
    <cfRule type="expression" dxfId="2020" priority="385">
      <formula>$AA166=2</formula>
    </cfRule>
  </conditionalFormatting>
  <conditionalFormatting sqref="S173:S175">
    <cfRule type="expression" dxfId="2019" priority="384">
      <formula>$AA173=2</formula>
    </cfRule>
  </conditionalFormatting>
  <conditionalFormatting sqref="S177:S179">
    <cfRule type="expression" dxfId="2018" priority="383">
      <formula>$AA177=2</formula>
    </cfRule>
  </conditionalFormatting>
  <conditionalFormatting sqref="S181">
    <cfRule type="expression" dxfId="2017" priority="382">
      <formula>$AA181=2</formula>
    </cfRule>
  </conditionalFormatting>
  <conditionalFormatting sqref="S183:S184">
    <cfRule type="expression" dxfId="2016" priority="381">
      <formula>$AA183=2</formula>
    </cfRule>
  </conditionalFormatting>
  <conditionalFormatting sqref="S186:S189">
    <cfRule type="expression" dxfId="2015" priority="380">
      <formula>$AA186=2</formula>
    </cfRule>
  </conditionalFormatting>
  <conditionalFormatting sqref="S199:S200">
    <cfRule type="expression" dxfId="2014" priority="379">
      <formula>$AA199=2</formula>
    </cfRule>
  </conditionalFormatting>
  <conditionalFormatting sqref="S202:S203">
    <cfRule type="expression" dxfId="2013" priority="378">
      <formula>$AA202=2</formula>
    </cfRule>
  </conditionalFormatting>
  <conditionalFormatting sqref="S205:S206">
    <cfRule type="expression" dxfId="2012" priority="377">
      <formula>$AA205=2</formula>
    </cfRule>
  </conditionalFormatting>
  <conditionalFormatting sqref="S197">
    <cfRule type="expression" dxfId="2011" priority="376">
      <formula>$AA197=2</formula>
    </cfRule>
  </conditionalFormatting>
  <conditionalFormatting sqref="S62">
    <cfRule type="expression" dxfId="2010" priority="375">
      <formula>$AA62=2</formula>
    </cfRule>
  </conditionalFormatting>
  <conditionalFormatting sqref="S91">
    <cfRule type="expression" dxfId="2009" priority="374">
      <formula>$AA91=2</formula>
    </cfRule>
  </conditionalFormatting>
  <conditionalFormatting sqref="S100">
    <cfRule type="expression" dxfId="2008" priority="373">
      <formula>$AA100=2</formula>
    </cfRule>
  </conditionalFormatting>
  <conditionalFormatting sqref="S114">
    <cfRule type="expression" dxfId="2007" priority="372">
      <formula>$AA114=2</formula>
    </cfRule>
  </conditionalFormatting>
  <conditionalFormatting sqref="S144">
    <cfRule type="expression" dxfId="2006" priority="371">
      <formula>$AA144=2</formula>
    </cfRule>
  </conditionalFormatting>
  <conditionalFormatting sqref="S159">
    <cfRule type="expression" dxfId="2005" priority="370">
      <formula>$AA159=2</formula>
    </cfRule>
  </conditionalFormatting>
  <conditionalFormatting sqref="S190">
    <cfRule type="expression" dxfId="2004" priority="369">
      <formula>$AA190=2</formula>
    </cfRule>
  </conditionalFormatting>
  <conditionalFormatting sqref="S207">
    <cfRule type="expression" dxfId="2003" priority="368">
      <formula>$AA207=2</formula>
    </cfRule>
  </conditionalFormatting>
  <conditionalFormatting sqref="S134">
    <cfRule type="expression" dxfId="2002" priority="367">
      <formula>$AA134=2</formula>
    </cfRule>
  </conditionalFormatting>
  <conditionalFormatting sqref="S196">
    <cfRule type="expression" dxfId="2001" priority="366">
      <formula>$AA196=2</formula>
    </cfRule>
  </conditionalFormatting>
  <conditionalFormatting sqref="S195">
    <cfRule type="expression" dxfId="2000" priority="365">
      <formula>$AA195=2</formula>
    </cfRule>
  </conditionalFormatting>
  <conditionalFormatting sqref="S25">
    <cfRule type="expression" dxfId="1999" priority="364">
      <formula>$AA25=2</formula>
    </cfRule>
  </conditionalFormatting>
  <conditionalFormatting sqref="S26">
    <cfRule type="expression" dxfId="1998" priority="363">
      <formula>$AA26=2</formula>
    </cfRule>
  </conditionalFormatting>
  <conditionalFormatting sqref="S84">
    <cfRule type="expression" dxfId="1997" priority="362">
      <formula>$AA84=2</formula>
    </cfRule>
  </conditionalFormatting>
  <conditionalFormatting sqref="S98">
    <cfRule type="expression" dxfId="1996" priority="361">
      <formula>$AA98=2</formula>
    </cfRule>
  </conditionalFormatting>
  <conditionalFormatting sqref="S156">
    <cfRule type="expression" dxfId="1995" priority="360">
      <formula>$AA156=2</formula>
    </cfRule>
  </conditionalFormatting>
  <conditionalFormatting sqref="S170:S171">
    <cfRule type="expression" dxfId="1994" priority="359">
      <formula>$AA170=2</formula>
    </cfRule>
  </conditionalFormatting>
  <conditionalFormatting sqref="S172">
    <cfRule type="expression" dxfId="1993" priority="358">
      <formula>$AA172=2</formula>
    </cfRule>
  </conditionalFormatting>
  <conditionalFormatting sqref="S171">
    <cfRule type="expression" dxfId="1992" priority="357">
      <formula>$AA171=2</formula>
    </cfRule>
  </conditionalFormatting>
  <conditionalFormatting sqref="S175">
    <cfRule type="expression" dxfId="1991" priority="356">
      <formula>$AA175=2</formula>
    </cfRule>
  </conditionalFormatting>
  <conditionalFormatting sqref="S56">
    <cfRule type="expression" dxfId="1990" priority="355">
      <formula>$AA56=2</formula>
    </cfRule>
  </conditionalFormatting>
  <conditionalFormatting sqref="S124">
    <cfRule type="expression" dxfId="1989" priority="354">
      <formula>$AA124=2</formula>
    </cfRule>
  </conditionalFormatting>
  <conditionalFormatting sqref="S42">
    <cfRule type="expression" dxfId="1988" priority="353">
      <formula>$AA42=2</formula>
    </cfRule>
  </conditionalFormatting>
  <conditionalFormatting sqref="Z207:Z210">
    <cfRule type="expression" dxfId="1987" priority="352">
      <formula>$AA207=2</formula>
    </cfRule>
  </conditionalFormatting>
  <conditionalFormatting sqref="Z144:Z146">
    <cfRule type="expression" dxfId="1986" priority="351">
      <formula>$AA144=2</formula>
    </cfRule>
  </conditionalFormatting>
  <conditionalFormatting sqref="Z121">
    <cfRule type="expression" dxfId="1985" priority="312">
      <formula>$AA121=2</formula>
    </cfRule>
  </conditionalFormatting>
  <conditionalFormatting sqref="Z211">
    <cfRule type="expression" dxfId="1984" priority="350">
      <formula>$AA211=2</formula>
    </cfRule>
  </conditionalFormatting>
  <conditionalFormatting sqref="Z16">
    <cfRule type="expression" dxfId="1983" priority="349">
      <formula>$AA16=2</formula>
    </cfRule>
  </conditionalFormatting>
  <conditionalFormatting sqref="Z14">
    <cfRule type="expression" dxfId="1982" priority="348">
      <formula>$AA14=2</formula>
    </cfRule>
  </conditionalFormatting>
  <conditionalFormatting sqref="Z13">
    <cfRule type="expression" dxfId="1981" priority="347">
      <formula>$AA13=2</formula>
    </cfRule>
  </conditionalFormatting>
  <conditionalFormatting sqref="Z12">
    <cfRule type="expression" dxfId="1980" priority="346">
      <formula>$AA12=2</formula>
    </cfRule>
  </conditionalFormatting>
  <conditionalFormatting sqref="Z21">
    <cfRule type="expression" dxfId="1979" priority="345">
      <formula>$AA21=2</formula>
    </cfRule>
  </conditionalFormatting>
  <conditionalFormatting sqref="Z22">
    <cfRule type="expression" dxfId="1978" priority="344">
      <formula>$AA22=2</formula>
    </cfRule>
  </conditionalFormatting>
  <conditionalFormatting sqref="Z23">
    <cfRule type="expression" dxfId="1977" priority="343">
      <formula>$AA23=2</formula>
    </cfRule>
  </conditionalFormatting>
  <conditionalFormatting sqref="Z24">
    <cfRule type="expression" dxfId="1976" priority="342">
      <formula>$AA24=2</formula>
    </cfRule>
  </conditionalFormatting>
  <conditionalFormatting sqref="Z28">
    <cfRule type="expression" dxfId="1975" priority="341">
      <formula>$AA28=2</formula>
    </cfRule>
  </conditionalFormatting>
  <conditionalFormatting sqref="Z29">
    <cfRule type="expression" dxfId="1974" priority="340">
      <formula>$AA29=2</formula>
    </cfRule>
  </conditionalFormatting>
  <conditionalFormatting sqref="Z30">
    <cfRule type="expression" dxfId="1973" priority="339">
      <formula>$AA30=2</formula>
    </cfRule>
  </conditionalFormatting>
  <conditionalFormatting sqref="Z32">
    <cfRule type="expression" dxfId="1972" priority="338">
      <formula>$AA32=2</formula>
    </cfRule>
  </conditionalFormatting>
  <conditionalFormatting sqref="Z33">
    <cfRule type="expression" dxfId="1971" priority="337">
      <formula>$AA33=2</formula>
    </cfRule>
  </conditionalFormatting>
  <conditionalFormatting sqref="Z34">
    <cfRule type="expression" dxfId="1970" priority="336">
      <formula>$AA34=2</formula>
    </cfRule>
  </conditionalFormatting>
  <conditionalFormatting sqref="Z38:Z39">
    <cfRule type="expression" dxfId="1969" priority="335">
      <formula>$AA38=2</formula>
    </cfRule>
  </conditionalFormatting>
  <conditionalFormatting sqref="Z65">
    <cfRule type="expression" dxfId="1968" priority="334">
      <formula>$AA65=2</formula>
    </cfRule>
  </conditionalFormatting>
  <conditionalFormatting sqref="Z94">
    <cfRule type="expression" dxfId="1967" priority="333">
      <formula>$AA94=2</formula>
    </cfRule>
  </conditionalFormatting>
  <conditionalFormatting sqref="Z103">
    <cfRule type="expression" dxfId="1966" priority="332">
      <formula>$AA103=2</formula>
    </cfRule>
  </conditionalFormatting>
  <conditionalFormatting sqref="Z117">
    <cfRule type="expression" dxfId="1965" priority="331">
      <formula>$AA117=2</formula>
    </cfRule>
  </conditionalFormatting>
  <conditionalFormatting sqref="Z147">
    <cfRule type="expression" dxfId="1964" priority="330">
      <formula>$AA147=2</formula>
    </cfRule>
  </conditionalFormatting>
  <conditionalFormatting sqref="Z162">
    <cfRule type="expression" dxfId="1963" priority="329">
      <formula>$AA162=2</formula>
    </cfRule>
  </conditionalFormatting>
  <conditionalFormatting sqref="Z193">
    <cfRule type="expression" dxfId="1962" priority="328">
      <formula>$AA193=2</formula>
    </cfRule>
  </conditionalFormatting>
  <conditionalFormatting sqref="Z45">
    <cfRule type="expression" dxfId="1961" priority="327">
      <formula>$AA45=2</formula>
    </cfRule>
  </conditionalFormatting>
  <conditionalFormatting sqref="Z50">
    <cfRule type="expression" dxfId="1960" priority="326">
      <formula>$AA50=2</formula>
    </cfRule>
  </conditionalFormatting>
  <conditionalFormatting sqref="Z54">
    <cfRule type="expression" dxfId="1959" priority="325">
      <formula>$AA54=2</formula>
    </cfRule>
  </conditionalFormatting>
  <conditionalFormatting sqref="Z57">
    <cfRule type="expression" dxfId="1958" priority="324">
      <formula>$AA57=2</formula>
    </cfRule>
  </conditionalFormatting>
  <conditionalFormatting sqref="Z60">
    <cfRule type="expression" dxfId="1957" priority="323">
      <formula>$AA60=2</formula>
    </cfRule>
  </conditionalFormatting>
  <conditionalFormatting sqref="Z72">
    <cfRule type="expression" dxfId="1956" priority="322">
      <formula>$AA72=2</formula>
    </cfRule>
  </conditionalFormatting>
  <conditionalFormatting sqref="Z76">
    <cfRule type="expression" dxfId="1955" priority="321">
      <formula>$AA76=2</formula>
    </cfRule>
  </conditionalFormatting>
  <conditionalFormatting sqref="Z79">
    <cfRule type="expression" dxfId="1954" priority="320">
      <formula>$AA79=2</formula>
    </cfRule>
  </conditionalFormatting>
  <conditionalFormatting sqref="Z82">
    <cfRule type="expression" dxfId="1953" priority="319">
      <formula>$AA82=2</formula>
    </cfRule>
  </conditionalFormatting>
  <conditionalFormatting sqref="Z86">
    <cfRule type="expression" dxfId="1952" priority="318">
      <formula>$AA86=2</formula>
    </cfRule>
  </conditionalFormatting>
  <conditionalFormatting sqref="Z89">
    <cfRule type="expression" dxfId="1951" priority="317">
      <formula>$AA89=2</formula>
    </cfRule>
  </conditionalFormatting>
  <conditionalFormatting sqref="Z97">
    <cfRule type="expression" dxfId="1950" priority="316">
      <formula>$AA97=2</formula>
    </cfRule>
  </conditionalFormatting>
  <conditionalFormatting sqref="Z106">
    <cfRule type="expression" dxfId="1949" priority="315">
      <formula>$AA106=2</formula>
    </cfRule>
  </conditionalFormatting>
  <conditionalFormatting sqref="Z108">
    <cfRule type="expression" dxfId="1948" priority="314">
      <formula>$AA108=2</formula>
    </cfRule>
  </conditionalFormatting>
  <conditionalFormatting sqref="Z112">
    <cfRule type="expression" dxfId="1947" priority="313">
      <formula>$AA112=2</formula>
    </cfRule>
  </conditionalFormatting>
  <conditionalFormatting sqref="Z125">
    <cfRule type="expression" dxfId="1946" priority="311">
      <formula>$AA125=2</formula>
    </cfRule>
  </conditionalFormatting>
  <conditionalFormatting sqref="Z129">
    <cfRule type="expression" dxfId="1945" priority="310">
      <formula>$AA129=2</formula>
    </cfRule>
  </conditionalFormatting>
  <conditionalFormatting sqref="Z135">
    <cfRule type="expression" dxfId="1944" priority="309">
      <formula>$AA135=2</formula>
    </cfRule>
  </conditionalFormatting>
  <conditionalFormatting sqref="Z140">
    <cfRule type="expression" dxfId="1943" priority="308">
      <formula>$AA140=2</formula>
    </cfRule>
  </conditionalFormatting>
  <conditionalFormatting sqref="Z153">
    <cfRule type="expression" dxfId="1942" priority="307">
      <formula>$AA153=2</formula>
    </cfRule>
  </conditionalFormatting>
  <conditionalFormatting sqref="Z155">
    <cfRule type="expression" dxfId="1941" priority="306">
      <formula>$AA155=2</formula>
    </cfRule>
  </conditionalFormatting>
  <conditionalFormatting sqref="Z157">
    <cfRule type="expression" dxfId="1940" priority="305">
      <formula>$AA157=2</formula>
    </cfRule>
  </conditionalFormatting>
  <conditionalFormatting sqref="Z165">
    <cfRule type="expression" dxfId="1939" priority="304">
      <formula>$AA165=2</formula>
    </cfRule>
  </conditionalFormatting>
  <conditionalFormatting sqref="Z169">
    <cfRule type="expression" dxfId="1938" priority="303">
      <formula>$AA169=2</formula>
    </cfRule>
  </conditionalFormatting>
  <conditionalFormatting sqref="Z176">
    <cfRule type="expression" dxfId="1937" priority="302">
      <formula>$AA176=2</formula>
    </cfRule>
  </conditionalFormatting>
  <conditionalFormatting sqref="Z180">
    <cfRule type="expression" dxfId="1936" priority="301">
      <formula>$AA180=2</formula>
    </cfRule>
  </conditionalFormatting>
  <conditionalFormatting sqref="Z182">
    <cfRule type="expression" dxfId="1935" priority="300">
      <formula>$AA182=2</formula>
    </cfRule>
  </conditionalFormatting>
  <conditionalFormatting sqref="Z185">
    <cfRule type="expression" dxfId="1934" priority="299">
      <formula>$AA185=2</formula>
    </cfRule>
  </conditionalFormatting>
  <conditionalFormatting sqref="Z198">
    <cfRule type="expression" dxfId="1933" priority="298">
      <formula>$AA198=2</formula>
    </cfRule>
  </conditionalFormatting>
  <conditionalFormatting sqref="Z201">
    <cfRule type="expression" dxfId="1932" priority="297">
      <formula>$AA201=2</formula>
    </cfRule>
  </conditionalFormatting>
  <conditionalFormatting sqref="Z204">
    <cfRule type="expression" dxfId="1931" priority="296">
      <formula>$AA204=2</formula>
    </cfRule>
  </conditionalFormatting>
  <conditionalFormatting sqref="Z40:Z41">
    <cfRule type="expression" dxfId="1930" priority="295">
      <formula>$AA40=2</formula>
    </cfRule>
  </conditionalFormatting>
  <conditionalFormatting sqref="Z46:Z49">
    <cfRule type="expression" dxfId="1929" priority="294">
      <formula>$AA46=2</formula>
    </cfRule>
  </conditionalFormatting>
  <conditionalFormatting sqref="Z51:Z53">
    <cfRule type="expression" dxfId="1928" priority="293">
      <formula>$AA51=2</formula>
    </cfRule>
  </conditionalFormatting>
  <conditionalFormatting sqref="Z55">
    <cfRule type="expression" dxfId="1927" priority="292">
      <formula>$AA55=2</formula>
    </cfRule>
  </conditionalFormatting>
  <conditionalFormatting sqref="Z58:Z59">
    <cfRule type="expression" dxfId="1926" priority="291">
      <formula>$AA58=2</formula>
    </cfRule>
  </conditionalFormatting>
  <conditionalFormatting sqref="Z61">
    <cfRule type="expression" dxfId="1925" priority="290">
      <formula>$AA61=2</formula>
    </cfRule>
  </conditionalFormatting>
  <conditionalFormatting sqref="Z67:Z71">
    <cfRule type="expression" dxfId="1924" priority="289">
      <formula>$AA67=2</formula>
    </cfRule>
  </conditionalFormatting>
  <conditionalFormatting sqref="Z73:Z75">
    <cfRule type="expression" dxfId="1923" priority="288">
      <formula>$AA73=2</formula>
    </cfRule>
  </conditionalFormatting>
  <conditionalFormatting sqref="Z77:Z78">
    <cfRule type="expression" dxfId="1922" priority="287">
      <formula>$AA77=2</formula>
    </cfRule>
  </conditionalFormatting>
  <conditionalFormatting sqref="Z80:Z81">
    <cfRule type="expression" dxfId="1921" priority="286">
      <formula>$AA80=2</formula>
    </cfRule>
  </conditionalFormatting>
  <conditionalFormatting sqref="Z85">
    <cfRule type="expression" dxfId="1920" priority="285">
      <formula>$AA85=2</formula>
    </cfRule>
  </conditionalFormatting>
  <conditionalFormatting sqref="Z87:Z88">
    <cfRule type="expression" dxfId="1919" priority="284">
      <formula>$AA87=2</formula>
    </cfRule>
  </conditionalFormatting>
  <conditionalFormatting sqref="Z90">
    <cfRule type="expression" dxfId="1918" priority="283">
      <formula>$AA90=2</formula>
    </cfRule>
  </conditionalFormatting>
  <conditionalFormatting sqref="Z95:Z96">
    <cfRule type="expression" dxfId="1917" priority="282">
      <formula>$AA95=2</formula>
    </cfRule>
  </conditionalFormatting>
  <conditionalFormatting sqref="Z99">
    <cfRule type="expression" dxfId="1916" priority="281">
      <formula>$AA99=2</formula>
    </cfRule>
  </conditionalFormatting>
  <conditionalFormatting sqref="Z105">
    <cfRule type="expression" dxfId="1915" priority="280">
      <formula>$AA105=2</formula>
    </cfRule>
  </conditionalFormatting>
  <conditionalFormatting sqref="Z107">
    <cfRule type="expression" dxfId="1914" priority="279">
      <formula>$AA107=2</formula>
    </cfRule>
  </conditionalFormatting>
  <conditionalFormatting sqref="Z109:Z111">
    <cfRule type="expression" dxfId="1913" priority="278">
      <formula>$AA109=2</formula>
    </cfRule>
  </conditionalFormatting>
  <conditionalFormatting sqref="Z113">
    <cfRule type="expression" dxfId="1912" priority="277">
      <formula>$AA113=2</formula>
    </cfRule>
  </conditionalFormatting>
  <conditionalFormatting sqref="Z118:Z119">
    <cfRule type="expression" dxfId="1911" priority="276">
      <formula>$AA118=2</formula>
    </cfRule>
  </conditionalFormatting>
  <conditionalFormatting sqref="Z120">
    <cfRule type="expression" dxfId="1910" priority="275">
      <formula>$AA120=2</formula>
    </cfRule>
  </conditionalFormatting>
  <conditionalFormatting sqref="Z122:Z123">
    <cfRule type="expression" dxfId="1909" priority="274">
      <formula>$AA122=2</formula>
    </cfRule>
  </conditionalFormatting>
  <conditionalFormatting sqref="Z126:Z128">
    <cfRule type="expression" dxfId="1908" priority="273">
      <formula>$AA126=2</formula>
    </cfRule>
  </conditionalFormatting>
  <conditionalFormatting sqref="Z130:Z133">
    <cfRule type="expression" dxfId="1907" priority="272">
      <formula>$AA130=2</formula>
    </cfRule>
  </conditionalFormatting>
  <conditionalFormatting sqref="Z137:Z139">
    <cfRule type="expression" dxfId="1906" priority="271">
      <formula>$AA137=2</formula>
    </cfRule>
  </conditionalFormatting>
  <conditionalFormatting sqref="Z141:Z143">
    <cfRule type="expression" dxfId="1905" priority="270">
      <formula>$AA141=2</formula>
    </cfRule>
  </conditionalFormatting>
  <conditionalFormatting sqref="Z149:Z152">
    <cfRule type="expression" dxfId="1904" priority="269">
      <formula>$AA149=2</formula>
    </cfRule>
  </conditionalFormatting>
  <conditionalFormatting sqref="Z154">
    <cfRule type="expression" dxfId="1903" priority="268">
      <formula>$AA154=2</formula>
    </cfRule>
  </conditionalFormatting>
  <conditionalFormatting sqref="Z158">
    <cfRule type="expression" dxfId="1902" priority="267">
      <formula>$AA158=2</formula>
    </cfRule>
  </conditionalFormatting>
  <conditionalFormatting sqref="Z163:Z164">
    <cfRule type="expression" dxfId="1901" priority="266">
      <formula>$AA163=2</formula>
    </cfRule>
  </conditionalFormatting>
  <conditionalFormatting sqref="Z166:Z168">
    <cfRule type="expression" dxfId="1900" priority="265">
      <formula>$AA166=2</formula>
    </cfRule>
  </conditionalFormatting>
  <conditionalFormatting sqref="Z173:Z175">
    <cfRule type="expression" dxfId="1899" priority="264">
      <formula>$AA173=2</formula>
    </cfRule>
  </conditionalFormatting>
  <conditionalFormatting sqref="Z177:Z179">
    <cfRule type="expression" dxfId="1898" priority="263">
      <formula>$AA177=2</formula>
    </cfRule>
  </conditionalFormatting>
  <conditionalFormatting sqref="Z181">
    <cfRule type="expression" dxfId="1897" priority="262">
      <formula>$AA181=2</formula>
    </cfRule>
  </conditionalFormatting>
  <conditionalFormatting sqref="Z183:Z184">
    <cfRule type="expression" dxfId="1896" priority="261">
      <formula>$AA183=2</formula>
    </cfRule>
  </conditionalFormatting>
  <conditionalFormatting sqref="Z186:Z189">
    <cfRule type="expression" dxfId="1895" priority="260">
      <formula>$AA186=2</formula>
    </cfRule>
  </conditionalFormatting>
  <conditionalFormatting sqref="Z199:Z200">
    <cfRule type="expression" dxfId="1894" priority="259">
      <formula>$AA199=2</formula>
    </cfRule>
  </conditionalFormatting>
  <conditionalFormatting sqref="Z202:Z203">
    <cfRule type="expression" dxfId="1893" priority="258">
      <formula>$AA202=2</formula>
    </cfRule>
  </conditionalFormatting>
  <conditionalFormatting sqref="Z205:Z206">
    <cfRule type="expression" dxfId="1892" priority="257">
      <formula>$AA205=2</formula>
    </cfRule>
  </conditionalFormatting>
  <conditionalFormatting sqref="Z195">
    <cfRule type="expression" dxfId="1891" priority="256">
      <formula>$AA195=2</formula>
    </cfRule>
  </conditionalFormatting>
  <conditionalFormatting sqref="Z197">
    <cfRule type="expression" dxfId="1890" priority="255">
      <formula>$AA197=2</formula>
    </cfRule>
  </conditionalFormatting>
  <conditionalFormatting sqref="Z134">
    <cfRule type="expression" dxfId="1889" priority="254">
      <formula>$AA134=2</formula>
    </cfRule>
  </conditionalFormatting>
  <conditionalFormatting sqref="Z196">
    <cfRule type="expression" dxfId="1888" priority="253">
      <formula>$AA196=2</formula>
    </cfRule>
  </conditionalFormatting>
  <conditionalFormatting sqref="Z25">
    <cfRule type="expression" dxfId="1887" priority="252">
      <formula>$AA25=2</formula>
    </cfRule>
  </conditionalFormatting>
  <conditionalFormatting sqref="Z26">
    <cfRule type="expression" dxfId="1886" priority="251">
      <formula>$AA26=2</formula>
    </cfRule>
  </conditionalFormatting>
  <conditionalFormatting sqref="Z84">
    <cfRule type="expression" dxfId="1885" priority="250">
      <formula>$AA84=2</formula>
    </cfRule>
  </conditionalFormatting>
  <conditionalFormatting sqref="Z98">
    <cfRule type="expression" dxfId="1884" priority="249">
      <formula>$AA98=2</formula>
    </cfRule>
  </conditionalFormatting>
  <conditionalFormatting sqref="Z15">
    <cfRule type="expression" dxfId="1883" priority="248">
      <formula>$AA15=2</formula>
    </cfRule>
  </conditionalFormatting>
  <conditionalFormatting sqref="Z156">
    <cfRule type="expression" dxfId="1882" priority="247">
      <formula>$AA156=2</formula>
    </cfRule>
  </conditionalFormatting>
  <conditionalFormatting sqref="Z170:Z171">
    <cfRule type="expression" dxfId="1881" priority="246">
      <formula>$AA170=2</formula>
    </cfRule>
  </conditionalFormatting>
  <conditionalFormatting sqref="Z172">
    <cfRule type="expression" dxfId="1880" priority="245">
      <formula>$AA172=2</formula>
    </cfRule>
  </conditionalFormatting>
  <conditionalFormatting sqref="Z171">
    <cfRule type="expression" dxfId="1879" priority="244">
      <formula>$AA171=2</formula>
    </cfRule>
  </conditionalFormatting>
  <conditionalFormatting sqref="Z175">
    <cfRule type="expression" dxfId="1878" priority="243">
      <formula>$AA175=2</formula>
    </cfRule>
  </conditionalFormatting>
  <conditionalFormatting sqref="Z56">
    <cfRule type="expression" dxfId="1877" priority="242">
      <formula>$AA56=2</formula>
    </cfRule>
  </conditionalFormatting>
  <conditionalFormatting sqref="Z124">
    <cfRule type="expression" dxfId="1876" priority="241">
      <formula>$AA124=2</formula>
    </cfRule>
  </conditionalFormatting>
  <conditionalFormatting sqref="Z43">
    <cfRule type="expression" dxfId="1875" priority="240">
      <formula>$AA43=2</formula>
    </cfRule>
  </conditionalFormatting>
  <conditionalFormatting sqref="Z42">
    <cfRule type="expression" dxfId="1874" priority="239">
      <formula>$AA42=2</formula>
    </cfRule>
  </conditionalFormatting>
  <conditionalFormatting sqref="Z44">
    <cfRule type="expression" dxfId="1873" priority="238">
      <formula>$AA44=2</formula>
    </cfRule>
  </conditionalFormatting>
  <conditionalFormatting sqref="L66">
    <cfRule type="expression" dxfId="1872" priority="236">
      <formula>$AA66=2</formula>
    </cfRule>
  </conditionalFormatting>
  <conditionalFormatting sqref="Z66">
    <cfRule type="expression" dxfId="1871" priority="235">
      <formula>$AA66=2</formula>
    </cfRule>
  </conditionalFormatting>
  <conditionalFormatting sqref="H39:I39">
    <cfRule type="expression" dxfId="1870" priority="234">
      <formula>$AC39=2</formula>
    </cfRule>
  </conditionalFormatting>
  <conditionalFormatting sqref="G39">
    <cfRule type="expression" dxfId="1869" priority="233">
      <formula>$AC39=2</formula>
    </cfRule>
  </conditionalFormatting>
  <conditionalFormatting sqref="G39">
    <cfRule type="expression" dxfId="1868" priority="232">
      <formula>G39&gt;F39</formula>
    </cfRule>
  </conditionalFormatting>
  <conditionalFormatting sqref="H39">
    <cfRule type="expression" dxfId="1867" priority="231">
      <formula>F39=0</formula>
    </cfRule>
  </conditionalFormatting>
  <conditionalFormatting sqref="I39">
    <cfRule type="expression" dxfId="1866" priority="230">
      <formula>F39=0</formula>
    </cfRule>
  </conditionalFormatting>
  <conditionalFormatting sqref="N39">
    <cfRule type="expression" dxfId="1865" priority="229">
      <formula>$AC39=2</formula>
    </cfRule>
  </conditionalFormatting>
  <conditionalFormatting sqref="N39">
    <cfRule type="expression" dxfId="1864" priority="228">
      <formula>N39&gt;F39</formula>
    </cfRule>
  </conditionalFormatting>
  <conditionalFormatting sqref="O39">
    <cfRule type="expression" dxfId="1863" priority="225">
      <formula>$AC39=2</formula>
    </cfRule>
  </conditionalFormatting>
  <conditionalFormatting sqref="O39">
    <cfRule type="expression" dxfId="1862" priority="224">
      <formula>F39=0</formula>
    </cfRule>
  </conditionalFormatting>
  <conditionalFormatting sqref="V39">
    <cfRule type="expression" dxfId="1861" priority="223">
      <formula>$AC39=2</formula>
    </cfRule>
  </conditionalFormatting>
  <conditionalFormatting sqref="U39">
    <cfRule type="expression" dxfId="1860" priority="222">
      <formula>$AC39=2</formula>
    </cfRule>
  </conditionalFormatting>
  <conditionalFormatting sqref="U39">
    <cfRule type="expression" dxfId="1859" priority="221">
      <formula>U39&gt;F39</formula>
    </cfRule>
  </conditionalFormatting>
  <conditionalFormatting sqref="V39">
    <cfRule type="expression" dxfId="1858" priority="218">
      <formula>F39=0</formula>
    </cfRule>
  </conditionalFormatting>
  <conditionalFormatting sqref="AB39">
    <cfRule type="expression" dxfId="1857" priority="216">
      <formula>$AJ$4="Nei"</formula>
    </cfRule>
    <cfRule type="expression" dxfId="1856" priority="217">
      <formula>$AC39=2</formula>
    </cfRule>
  </conditionalFormatting>
  <conditionalFormatting sqref="O188">
    <cfRule type="expression" dxfId="1855" priority="215">
      <formula>$AC188=2</formula>
    </cfRule>
  </conditionalFormatting>
  <conditionalFormatting sqref="O188">
    <cfRule type="expression" dxfId="1854" priority="214">
      <formula>F188=0</formula>
    </cfRule>
  </conditionalFormatting>
  <conditionalFormatting sqref="V188">
    <cfRule type="expression" dxfId="1853" priority="213">
      <formula>$AC188=2</formula>
    </cfRule>
  </conditionalFormatting>
  <conditionalFormatting sqref="V188">
    <cfRule type="expression" dxfId="1852" priority="212">
      <formula>F188=0</formula>
    </cfRule>
  </conditionalFormatting>
  <conditionalFormatting sqref="H152:I152">
    <cfRule type="expression" dxfId="1851" priority="211">
      <formula>$AC152=2</formula>
    </cfRule>
  </conditionalFormatting>
  <conditionalFormatting sqref="J152:K152">
    <cfRule type="expression" dxfId="1850" priority="207">
      <formula>$AD152=4</formula>
    </cfRule>
    <cfRule type="expression" dxfId="1849" priority="208">
      <formula>$AD152=3</formula>
    </cfRule>
    <cfRule type="expression" dxfId="1848" priority="209">
      <formula>$AD152=2</formula>
    </cfRule>
    <cfRule type="expression" dxfId="1847" priority="210">
      <formula>$AD152=1</formula>
    </cfRule>
  </conditionalFormatting>
  <conditionalFormatting sqref="J152:K152">
    <cfRule type="expression" dxfId="1846" priority="206">
      <formula>$AC152=2</formula>
    </cfRule>
  </conditionalFormatting>
  <conditionalFormatting sqref="G152">
    <cfRule type="expression" dxfId="1845" priority="205">
      <formula>$AC152=2</formula>
    </cfRule>
  </conditionalFormatting>
  <conditionalFormatting sqref="G152">
    <cfRule type="expression" dxfId="1844" priority="204">
      <formula>G152&gt;F152</formula>
    </cfRule>
  </conditionalFormatting>
  <conditionalFormatting sqref="H152">
    <cfRule type="expression" dxfId="1843" priority="203">
      <formula>F152=0</formula>
    </cfRule>
  </conditionalFormatting>
  <conditionalFormatting sqref="I152">
    <cfRule type="expression" dxfId="1842" priority="202">
      <formula>F152=0</formula>
    </cfRule>
  </conditionalFormatting>
  <conditionalFormatting sqref="Q152:R152">
    <cfRule type="expression" dxfId="1841" priority="201">
      <formula>$AC152=2</formula>
    </cfRule>
  </conditionalFormatting>
  <conditionalFormatting sqref="Q152:R152">
    <cfRule type="expression" dxfId="1840" priority="195">
      <formula>$AE152=4</formula>
    </cfRule>
    <cfRule type="expression" dxfId="1839" priority="196">
      <formula>$AE152=3</formula>
    </cfRule>
    <cfRule type="expression" dxfId="1838" priority="197">
      <formula>$AE152=2</formula>
    </cfRule>
    <cfRule type="expression" dxfId="1837" priority="198">
      <formula>$AE152=1</formula>
    </cfRule>
  </conditionalFormatting>
  <conditionalFormatting sqref="O152">
    <cfRule type="expression" dxfId="1836" priority="194">
      <formula>$AC152=2</formula>
    </cfRule>
  </conditionalFormatting>
  <conditionalFormatting sqref="N152">
    <cfRule type="expression" dxfId="1835" priority="193">
      <formula>$AC152=2</formula>
    </cfRule>
  </conditionalFormatting>
  <conditionalFormatting sqref="N152">
    <cfRule type="expression" dxfId="1834" priority="192">
      <formula>N152&gt;F152</formula>
    </cfRule>
  </conditionalFormatting>
  <conditionalFormatting sqref="O152">
    <cfRule type="expression" dxfId="1833" priority="189">
      <formula>F152=0</formula>
    </cfRule>
  </conditionalFormatting>
  <conditionalFormatting sqref="X152:Y152">
    <cfRule type="expression" dxfId="1832" priority="188">
      <formula>$AC152=2</formula>
    </cfRule>
  </conditionalFormatting>
  <conditionalFormatting sqref="X152:Y152">
    <cfRule type="expression" dxfId="1831" priority="184">
      <formula>$AF152=4</formula>
    </cfRule>
    <cfRule type="expression" dxfId="1830" priority="185">
      <formula>$AF152=3</formula>
    </cfRule>
    <cfRule type="expression" dxfId="1829" priority="186">
      <formula>$AF152=2</formula>
    </cfRule>
    <cfRule type="expression" dxfId="1828" priority="187">
      <formula>$AF152=1</formula>
    </cfRule>
  </conditionalFormatting>
  <conditionalFormatting sqref="V152">
    <cfRule type="expression" dxfId="1827" priority="181">
      <formula>$AC152=2</formula>
    </cfRule>
  </conditionalFormatting>
  <conditionalFormatting sqref="U152">
    <cfRule type="expression" dxfId="1826" priority="180">
      <formula>$AC152=2</formula>
    </cfRule>
  </conditionalFormatting>
  <conditionalFormatting sqref="U152">
    <cfRule type="expression" dxfId="1825" priority="179">
      <formula>U152&gt;F152</formula>
    </cfRule>
  </conditionalFormatting>
  <conditionalFormatting sqref="V152">
    <cfRule type="expression" dxfId="1824" priority="176">
      <formula>F152=0</formula>
    </cfRule>
  </conditionalFormatting>
  <conditionalFormatting sqref="H164:I164">
    <cfRule type="expression" dxfId="1823" priority="175">
      <formula>$AC164=2</formula>
    </cfRule>
  </conditionalFormatting>
  <conditionalFormatting sqref="J164">
    <cfRule type="expression" dxfId="1822" priority="171">
      <formula>$AD164=4</formula>
    </cfRule>
    <cfRule type="expression" dxfId="1821" priority="172">
      <formula>$AD164=3</formula>
    </cfRule>
    <cfRule type="expression" dxfId="1820" priority="173">
      <formula>$AD164=2</formula>
    </cfRule>
    <cfRule type="expression" dxfId="1819" priority="174">
      <formula>$AD164=1</formula>
    </cfRule>
  </conditionalFormatting>
  <conditionalFormatting sqref="J164">
    <cfRule type="expression" dxfId="1818" priority="170">
      <formula>$AC164=2</formula>
    </cfRule>
  </conditionalFormatting>
  <conditionalFormatting sqref="G164">
    <cfRule type="expression" dxfId="1817" priority="169">
      <formula>$AC164=2</formula>
    </cfRule>
  </conditionalFormatting>
  <conditionalFormatting sqref="G164">
    <cfRule type="expression" dxfId="1816" priority="168">
      <formula>G164&gt;F164</formula>
    </cfRule>
  </conditionalFormatting>
  <conditionalFormatting sqref="H164">
    <cfRule type="expression" dxfId="1815" priority="167">
      <formula>F164=0</formula>
    </cfRule>
  </conditionalFormatting>
  <conditionalFormatting sqref="I164">
    <cfRule type="expression" dxfId="1814" priority="166">
      <formula>F164=0</formula>
    </cfRule>
  </conditionalFormatting>
  <conditionalFormatting sqref="Q164">
    <cfRule type="expression" dxfId="1813" priority="165">
      <formula>$AC164=2</formula>
    </cfRule>
  </conditionalFormatting>
  <conditionalFormatting sqref="Q164">
    <cfRule type="expression" dxfId="1812" priority="159">
      <formula>$AE164=4</formula>
    </cfRule>
    <cfRule type="expression" dxfId="1811" priority="160">
      <formula>$AE164=3</formula>
    </cfRule>
    <cfRule type="expression" dxfId="1810" priority="161">
      <formula>$AE164=2</formula>
    </cfRule>
    <cfRule type="expression" dxfId="1809" priority="162">
      <formula>$AE164=1</formula>
    </cfRule>
  </conditionalFormatting>
  <conditionalFormatting sqref="O164">
    <cfRule type="expression" dxfId="1808" priority="756">
      <formula>$AC164=2</formula>
    </cfRule>
  </conditionalFormatting>
  <conditionalFormatting sqref="N164">
    <cfRule type="expression" dxfId="1807" priority="157">
      <formula>$AC164=2</formula>
    </cfRule>
  </conditionalFormatting>
  <conditionalFormatting sqref="N164">
    <cfRule type="expression" dxfId="1806" priority="156">
      <formula>N164&gt;F164</formula>
    </cfRule>
  </conditionalFormatting>
  <conditionalFormatting sqref="O164">
    <cfRule type="expression" dxfId="1805" priority="158">
      <formula>F164=0</formula>
    </cfRule>
  </conditionalFormatting>
  <conditionalFormatting sqref="X164:Y164">
    <cfRule type="expression" dxfId="1804" priority="152">
      <formula>$AC164=2</formula>
    </cfRule>
  </conditionalFormatting>
  <conditionalFormatting sqref="X164:Y164">
    <cfRule type="expression" dxfId="1803" priority="148">
      <formula>$AF164=4</formula>
    </cfRule>
    <cfRule type="expression" dxfId="1802" priority="149">
      <formula>$AF164=3</formula>
    </cfRule>
    <cfRule type="expression" dxfId="1801" priority="150">
      <formula>$AF164=2</formula>
    </cfRule>
    <cfRule type="expression" dxfId="1800" priority="151">
      <formula>$AF164=1</formula>
    </cfRule>
  </conditionalFormatting>
  <conditionalFormatting sqref="V164">
    <cfRule type="expression" dxfId="1799" priority="755">
      <formula>$AC164=2</formula>
    </cfRule>
  </conditionalFormatting>
  <conditionalFormatting sqref="U164">
    <cfRule type="expression" dxfId="1798" priority="144">
      <formula>$AC164=2</formula>
    </cfRule>
  </conditionalFormatting>
  <conditionalFormatting sqref="U164">
    <cfRule type="expression" dxfId="1797" priority="143">
      <formula>U164&gt;F164</formula>
    </cfRule>
  </conditionalFormatting>
  <conditionalFormatting sqref="V164">
    <cfRule type="expression" dxfId="1796" priority="145">
      <formula>F164=0</formula>
    </cfRule>
  </conditionalFormatting>
  <conditionalFormatting sqref="N4:S7">
    <cfRule type="expression" dxfId="1795" priority="139">
      <formula>$S$8=AD_no</formula>
    </cfRule>
  </conditionalFormatting>
  <conditionalFormatting sqref="U4:Z7">
    <cfRule type="expression" dxfId="1794" priority="138">
      <formula>$Z$8=AD_no</formula>
    </cfRule>
  </conditionalFormatting>
  <conditionalFormatting sqref="G69">
    <cfRule type="expression" dxfId="1793" priority="136">
      <formula>$AC69=2</formula>
    </cfRule>
  </conditionalFormatting>
  <conditionalFormatting sqref="G69">
    <cfRule type="expression" dxfId="1792" priority="135">
      <formula>G69&gt;F69</formula>
    </cfRule>
  </conditionalFormatting>
  <conditionalFormatting sqref="I69">
    <cfRule type="expression" dxfId="1791" priority="132">
      <formula>$AC69=2</formula>
    </cfRule>
  </conditionalFormatting>
  <conditionalFormatting sqref="I69">
    <cfRule type="expression" dxfId="1790" priority="131">
      <formula>F69=0</formula>
    </cfRule>
  </conditionalFormatting>
  <conditionalFormatting sqref="H69">
    <cfRule type="expression" dxfId="1789" priority="130">
      <formula>$AC69=2</formula>
    </cfRule>
  </conditionalFormatting>
  <conditionalFormatting sqref="H69">
    <cfRule type="expression" dxfId="1788" priority="129">
      <formula>F69=0</formula>
    </cfRule>
  </conditionalFormatting>
  <conditionalFormatting sqref="N69">
    <cfRule type="expression" dxfId="1787" priority="128">
      <formula>$AC69=2</formula>
    </cfRule>
  </conditionalFormatting>
  <conditionalFormatting sqref="N69">
    <cfRule type="expression" dxfId="1786" priority="127">
      <formula>N69&gt;F69</formula>
    </cfRule>
  </conditionalFormatting>
  <conditionalFormatting sqref="U69">
    <cfRule type="expression" dxfId="1785" priority="119">
      <formula>$AC69=2</formula>
    </cfRule>
  </conditionalFormatting>
  <conditionalFormatting sqref="U69">
    <cfRule type="expression" dxfId="1784" priority="118">
      <formula>U69&gt;F69</formula>
    </cfRule>
  </conditionalFormatting>
  <conditionalFormatting sqref="H104:I104">
    <cfRule type="expression" dxfId="1783" priority="114">
      <formula>$AC104=2</formula>
    </cfRule>
  </conditionalFormatting>
  <conditionalFormatting sqref="G104">
    <cfRule type="expression" dxfId="1782" priority="113">
      <formula>$AC104=2</formula>
    </cfRule>
  </conditionalFormatting>
  <conditionalFormatting sqref="G104">
    <cfRule type="expression" dxfId="1781" priority="112">
      <formula>G104&gt;F104</formula>
    </cfRule>
  </conditionalFormatting>
  <conditionalFormatting sqref="H104">
    <cfRule type="expression" dxfId="1780" priority="111">
      <formula>F104=0</formula>
    </cfRule>
  </conditionalFormatting>
  <conditionalFormatting sqref="I104">
    <cfRule type="expression" dxfId="1779" priority="110">
      <formula>F104=0</formula>
    </cfRule>
  </conditionalFormatting>
  <conditionalFormatting sqref="Q104:R104">
    <cfRule type="expression" dxfId="1778" priority="109">
      <formula>$AC104=2</formula>
    </cfRule>
  </conditionalFormatting>
  <conditionalFormatting sqref="Q104:R104">
    <cfRule type="expression" dxfId="1777" priority="105">
      <formula>$AE104=4</formula>
    </cfRule>
    <cfRule type="expression" dxfId="1776" priority="106">
      <formula>$AE104=3</formula>
    </cfRule>
    <cfRule type="expression" dxfId="1775" priority="107">
      <formula>$AE104=2</formula>
    </cfRule>
    <cfRule type="expression" dxfId="1774" priority="108">
      <formula>$AE104=1</formula>
    </cfRule>
  </conditionalFormatting>
  <conditionalFormatting sqref="X104:Y104">
    <cfRule type="expression" dxfId="1773" priority="101">
      <formula>$AF104=4</formula>
    </cfRule>
    <cfRule type="expression" dxfId="1772" priority="102">
      <formula>$AF104=3</formula>
    </cfRule>
    <cfRule type="expression" dxfId="1771" priority="103">
      <formula>$AF104=2</formula>
    </cfRule>
    <cfRule type="expression" dxfId="1770" priority="104">
      <formula>$AF104=1</formula>
    </cfRule>
  </conditionalFormatting>
  <conditionalFormatting sqref="X104:Y104">
    <cfRule type="expression" dxfId="1769" priority="100">
      <formula>$AC104=2</formula>
    </cfRule>
  </conditionalFormatting>
  <conditionalFormatting sqref="O104">
    <cfRule type="expression" dxfId="1768" priority="95">
      <formula>$AC104=2</formula>
    </cfRule>
  </conditionalFormatting>
  <conditionalFormatting sqref="V104">
    <cfRule type="expression" dxfId="1767" priority="94">
      <formula>$AC104=2</formula>
    </cfRule>
  </conditionalFormatting>
  <conditionalFormatting sqref="N104">
    <cfRule type="expression" dxfId="1766" priority="93">
      <formula>$AC104=2</formula>
    </cfRule>
  </conditionalFormatting>
  <conditionalFormatting sqref="N104">
    <cfRule type="expression" dxfId="1765" priority="92">
      <formula>N104&gt;F104</formula>
    </cfRule>
  </conditionalFormatting>
  <conditionalFormatting sqref="U104">
    <cfRule type="expression" dxfId="1764" priority="89">
      <formula>$AC104=2</formula>
    </cfRule>
  </conditionalFormatting>
  <conditionalFormatting sqref="U104">
    <cfRule type="expression" dxfId="1763" priority="88">
      <formula>U104&gt;F104</formula>
    </cfRule>
  </conditionalFormatting>
  <conditionalFormatting sqref="O104">
    <cfRule type="expression" dxfId="1762" priority="85">
      <formula>F104=0</formula>
    </cfRule>
  </conditionalFormatting>
  <conditionalFormatting sqref="V104">
    <cfRule type="expression" dxfId="1761" priority="84">
      <formula>F104=0</formula>
    </cfRule>
  </conditionalFormatting>
  <conditionalFormatting sqref="S104">
    <cfRule type="expression" dxfId="1760" priority="83">
      <formula>$AA104=2</formula>
    </cfRule>
  </conditionalFormatting>
  <conditionalFormatting sqref="Z104">
    <cfRule type="expression" dxfId="1759" priority="82">
      <formula>$AA104=2</formula>
    </cfRule>
  </conditionalFormatting>
  <conditionalFormatting sqref="J148:K148">
    <cfRule type="expression" dxfId="1758" priority="76">
      <formula>$AD148=4</formula>
    </cfRule>
    <cfRule type="expression" dxfId="1757" priority="77">
      <formula>$AD148=3</formula>
    </cfRule>
    <cfRule type="expression" dxfId="1756" priority="78">
      <formula>$AD148=2</formula>
    </cfRule>
    <cfRule type="expression" dxfId="1755" priority="79">
      <formula>$AD148=1</formula>
    </cfRule>
  </conditionalFormatting>
  <conditionalFormatting sqref="J148:K148">
    <cfRule type="expression" dxfId="1754" priority="75">
      <formula>$AC148=2</formula>
    </cfRule>
  </conditionalFormatting>
  <conditionalFormatting sqref="L148">
    <cfRule type="expression" dxfId="1753" priority="74">
      <formula>$AC148=2</formula>
    </cfRule>
  </conditionalFormatting>
  <conditionalFormatting sqref="H148:I148">
    <cfRule type="expression" dxfId="1752" priority="73">
      <formula>$AC148=2</formula>
    </cfRule>
  </conditionalFormatting>
  <conditionalFormatting sqref="G148">
    <cfRule type="expression" dxfId="1751" priority="72">
      <formula>$AC148=2</formula>
    </cfRule>
  </conditionalFormatting>
  <conditionalFormatting sqref="G148">
    <cfRule type="expression" dxfId="1750" priority="71">
      <formula>G148&gt;F148</formula>
    </cfRule>
  </conditionalFormatting>
  <conditionalFormatting sqref="H148">
    <cfRule type="expression" dxfId="1749" priority="70">
      <formula>F148=0</formula>
    </cfRule>
  </conditionalFormatting>
  <conditionalFormatting sqref="I148">
    <cfRule type="expression" dxfId="1748" priority="69">
      <formula>F148=0</formula>
    </cfRule>
  </conditionalFormatting>
  <conditionalFormatting sqref="Q148:R148">
    <cfRule type="expression" dxfId="1747" priority="68">
      <formula>$AC148=2</formula>
    </cfRule>
  </conditionalFormatting>
  <conditionalFormatting sqref="Q148:R148">
    <cfRule type="expression" dxfId="1746" priority="64">
      <formula>$AE148=4</formula>
    </cfRule>
    <cfRule type="expression" dxfId="1745" priority="65">
      <formula>$AE148=3</formula>
    </cfRule>
    <cfRule type="expression" dxfId="1744" priority="66">
      <formula>$AE148=2</formula>
    </cfRule>
    <cfRule type="expression" dxfId="1743" priority="67">
      <formula>$AE148=1</formula>
    </cfRule>
  </conditionalFormatting>
  <conditionalFormatting sqref="X148:Y148">
    <cfRule type="expression" dxfId="1742" priority="60">
      <formula>$AF148=4</formula>
    </cfRule>
    <cfRule type="expression" dxfId="1741" priority="61">
      <formula>$AF148=3</formula>
    </cfRule>
    <cfRule type="expression" dxfId="1740" priority="62">
      <formula>$AF148=2</formula>
    </cfRule>
    <cfRule type="expression" dxfId="1739" priority="63">
      <formula>$AF148=1</formula>
    </cfRule>
  </conditionalFormatting>
  <conditionalFormatting sqref="X148:Y148">
    <cfRule type="expression" dxfId="1738" priority="59">
      <formula>$AC148=2</formula>
    </cfRule>
  </conditionalFormatting>
  <conditionalFormatting sqref="O148">
    <cfRule type="expression" dxfId="1737" priority="54">
      <formula>$AC148=2</formula>
    </cfRule>
  </conditionalFormatting>
  <conditionalFormatting sqref="V148">
    <cfRule type="expression" dxfId="1736" priority="53">
      <formula>$AC148=2</formula>
    </cfRule>
  </conditionalFormatting>
  <conditionalFormatting sqref="N148">
    <cfRule type="expression" dxfId="1735" priority="52">
      <formula>$AC148=2</formula>
    </cfRule>
  </conditionalFormatting>
  <conditionalFormatting sqref="N148">
    <cfRule type="expression" dxfId="1734" priority="51">
      <formula>N148&gt;F148</formula>
    </cfRule>
  </conditionalFormatting>
  <conditionalFormatting sqref="U148">
    <cfRule type="expression" dxfId="1733" priority="48">
      <formula>$AC148=2</formula>
    </cfRule>
  </conditionalFormatting>
  <conditionalFormatting sqref="U148">
    <cfRule type="expression" dxfId="1732" priority="47">
      <formula>U148&gt;F148</formula>
    </cfRule>
  </conditionalFormatting>
  <conditionalFormatting sqref="O148">
    <cfRule type="expression" dxfId="1731" priority="44">
      <formula>F148=0</formula>
    </cfRule>
  </conditionalFormatting>
  <conditionalFormatting sqref="V148">
    <cfRule type="expression" dxfId="1730" priority="43">
      <formula>F148=0</formula>
    </cfRule>
  </conditionalFormatting>
  <conditionalFormatting sqref="S148">
    <cfRule type="expression" dxfId="1729" priority="42">
      <formula>$AA148=2</formula>
    </cfRule>
  </conditionalFormatting>
  <conditionalFormatting sqref="Z148">
    <cfRule type="expression" dxfId="1728" priority="41">
      <formula>$AA148=2</formula>
    </cfRule>
  </conditionalFormatting>
  <conditionalFormatting sqref="X136:Y136 H136:I136 Q136:R136">
    <cfRule type="expression" dxfId="1727" priority="38">
      <formula>$AC136=2</formula>
    </cfRule>
  </conditionalFormatting>
  <conditionalFormatting sqref="Q136:R136">
    <cfRule type="expression" dxfId="1726" priority="31">
      <formula>$AE136=4</formula>
    </cfRule>
    <cfRule type="expression" dxfId="1725" priority="32">
      <formula>$AE136=3</formula>
    </cfRule>
    <cfRule type="expression" dxfId="1724" priority="33">
      <formula>$AE136=2</formula>
    </cfRule>
    <cfRule type="expression" dxfId="1723" priority="34">
      <formula>$AE136=1</formula>
    </cfRule>
  </conditionalFormatting>
  <conditionalFormatting sqref="X136:Y136">
    <cfRule type="expression" dxfId="1722" priority="27">
      <formula>$AF136=4</formula>
    </cfRule>
    <cfRule type="expression" dxfId="1721" priority="28">
      <formula>$AF136=3</formula>
    </cfRule>
    <cfRule type="expression" dxfId="1720" priority="29">
      <formula>$AF136=2</formula>
    </cfRule>
    <cfRule type="expression" dxfId="1719" priority="30">
      <formula>$AF136=1</formula>
    </cfRule>
  </conditionalFormatting>
  <conditionalFormatting sqref="J136:K136">
    <cfRule type="expression" dxfId="1718" priority="21">
      <formula>$AD136=4</formula>
    </cfRule>
    <cfRule type="expression" dxfId="1717" priority="22">
      <formula>$AD136=3</formula>
    </cfRule>
    <cfRule type="expression" dxfId="1716" priority="23">
      <formula>$AD136=2</formula>
    </cfRule>
    <cfRule type="expression" dxfId="1715" priority="24">
      <formula>$AD136=1</formula>
    </cfRule>
  </conditionalFormatting>
  <conditionalFormatting sqref="J136:K136">
    <cfRule type="expression" dxfId="1714" priority="20">
      <formula>$AC136=2</formula>
    </cfRule>
  </conditionalFormatting>
  <conditionalFormatting sqref="L136">
    <cfRule type="expression" dxfId="1713" priority="19">
      <formula>$AC136=2</formula>
    </cfRule>
  </conditionalFormatting>
  <conditionalFormatting sqref="O136">
    <cfRule type="expression" dxfId="1712" priority="18">
      <formula>$AC136=2</formula>
    </cfRule>
  </conditionalFormatting>
  <conditionalFormatting sqref="V136">
    <cfRule type="expression" dxfId="1711" priority="17">
      <formula>$AC136=2</formula>
    </cfRule>
  </conditionalFormatting>
  <conditionalFormatting sqref="G136">
    <cfRule type="expression" dxfId="1710" priority="16">
      <formula>$AC136=2</formula>
    </cfRule>
  </conditionalFormatting>
  <conditionalFormatting sqref="G136">
    <cfRule type="expression" dxfId="1709" priority="15">
      <formula>G136&gt;F136</formula>
    </cfRule>
  </conditionalFormatting>
  <conditionalFormatting sqref="N136">
    <cfRule type="expression" dxfId="1708" priority="14">
      <formula>$AC136=2</formula>
    </cfRule>
  </conditionalFormatting>
  <conditionalFormatting sqref="N136">
    <cfRule type="expression" dxfId="1707" priority="13">
      <formula>N136&gt;F136</formula>
    </cfRule>
  </conditionalFormatting>
  <conditionalFormatting sqref="U136">
    <cfRule type="expression" dxfId="1706" priority="10">
      <formula>$AC136=2</formula>
    </cfRule>
  </conditionalFormatting>
  <conditionalFormatting sqref="U136">
    <cfRule type="expression" dxfId="1705" priority="9">
      <formula>U136&gt;F136</formula>
    </cfRule>
  </conditionalFormatting>
  <conditionalFormatting sqref="H136">
    <cfRule type="expression" dxfId="1704" priority="6">
      <formula>F136=0</formula>
    </cfRule>
  </conditionalFormatting>
  <conditionalFormatting sqref="I136">
    <cfRule type="expression" dxfId="1703" priority="5">
      <formula>F136=0</formula>
    </cfRule>
  </conditionalFormatting>
  <conditionalFormatting sqref="O136">
    <cfRule type="expression" dxfId="1702" priority="36">
      <formula>F136=0</formula>
    </cfRule>
  </conditionalFormatting>
  <conditionalFormatting sqref="V136">
    <cfRule type="expression" dxfId="1701" priority="35">
      <formula>F136=0</formula>
    </cfRule>
  </conditionalFormatting>
  <conditionalFormatting sqref="S136">
    <cfRule type="expression" dxfId="1700" priority="4">
      <formula>$AA136=2</formula>
    </cfRule>
  </conditionalFormatting>
  <conditionalFormatting sqref="Z136">
    <cfRule type="expression" dxfId="1699" priority="3">
      <formula>$AA136=2</formula>
    </cfRule>
  </conditionalFormatting>
  <dataValidations count="19">
    <dataValidation type="decimal" operator="lessThanOrEqual" allowBlank="1" showInputMessage="1" showErrorMessage="1" errorTitle="Invalid entry" error="Cannot award more credits than available" sqref="G141:G143 G187:G189 G210:G223 G56 G127:G128 G154 U153:U158 G109:G111 U40:U45 G156 G90 G107 N56:N61 G202:G203 N153:N158 G32:G34 G28:G30 G170:G171 G113 G119:G120 G123:G124 G12:G16 G18:G19 U196:U206 U99 U56:U61 G40:G44 G137:G139 G199:G200 G51:G53 U210:U223 G47:G49 G58:G59 N187:N189 G61 U165 G73:G75 G149:G151 G77:G78 G184 G80:G81 G181 G178:G179 G87:G88 G21:G26 G95:G96 G99 G167:G168 U11:U34 G158 G174:G175 G105 U105:U113 U70:U90 U187:U189 G205:G206 N210:N223 G131:G134 G70:G71 N40:N45 N47:N54 N117 N119:N121 N123:N125 N127:N129 G163 N167:N172 N174:N176 N178:N182 N184:N185 U47:U54 U117 U119:U121 U123:U125 U127:U129 N165 U167:U172 U174:U176 U178:U182 U184:U185 N137:N143 N149:N151 G196:G197 N196:N206 N193:N194 G194 U193:U194 N99 N11:N34 N70:N90 G83:G85 U94:U97 N94:N97 N38 U38 U149:U151 N105:N113 N162:N163 U162:U163 G66:G68 N65:N68 U65:U68 U103 N103 U147 N147 N131:N135 U131:U135 U137:U143" xr:uid="{00000000-0002-0000-0200-000000000000}">
      <formula1>$F11</formula1>
    </dataValidation>
    <dataValidation allowBlank="1" showInputMessage="1" showErrorMessage="1" promptTitle="Sorting" prompt="Sort from smallest to largest to get original sorting" sqref="A9" xr:uid="{00000000-0002-0000-0200-000001000000}"/>
    <dataValidation type="list" allowBlank="1" showInputMessage="1" showErrorMessage="1" sqref="S8 Z8" xr:uid="{00000000-0002-0000-0200-000002000000}">
      <formula1>AD_YesNo</formula1>
    </dataValidation>
    <dataValidation type="list" allowBlank="1" showInputMessage="1" showErrorMessage="1" sqref="N253:P253 G253 U253:W253 G243 N243:P243 U243:W243 G246 N246:P246 U246:W246 G249:G250 N249:P250 U249:W250 N255:P256 G255:G256 U255:W256 G46 G55 G118 G122 G126 G130 G166 G173 G177 G183 G186 G195 G98 G39 G152 G164 G69 G104 G148 G136" xr:uid="{00000000-0002-0000-0200-000003000000}">
      <formula1>janei</formula1>
    </dataValidation>
    <dataValidation type="list" operator="lessThanOrEqual" allowBlank="1" showInputMessage="1" showErrorMessage="1" errorTitle="Invalid entry" error="Cannot award more credits than available" sqref="N254:P254 G254 U254:W254 N46 U46 N55 N118 N122 N126 N130 N166 N173 N177 N183 N186 U55 U118 U122 U126 U130 U166 U173 U177 U183 U186 N195 U195 N98 U98 N39 U39 N152 U152 N164 U164 N69 U69 N104 U104 N148 U148 N136 U136" xr:uid="{00000000-0002-0000-0200-000004000000}">
      <formula1>janei</formula1>
    </dataValidation>
    <dataValidation type="list" allowBlank="1" showInputMessage="1" showErrorMessage="1" sqref="K210:K223 Y210:Y223 R249:R250 Y252:Y257 K243:K246 Y243:Y246 R243:R246 R193:R206 K252:K257 Y65:Y90 R252:R257 Y38:Y61 R38:R61 K38:K61 R11:R34 Y162:Y189 K103:K113 K162:K189 R210:R223 K234 K249:K250 Y234 Y249:Y250 R234 R147:R158 Y193:Y206 K193:K206 K11:K34 K94:K99 K65:K90 R65:R90 Y94:Y99 R94:R99 Y11:Y34 R103:R113 R162:R189 Y103:Y113 Y147:Y158 K147:K158 Y117:Y143 K117:K143 R117:R143" xr:uid="{00000000-0002-0000-0200-000009000000}">
      <formula1>status</formula1>
    </dataValidation>
    <dataValidation type="list" allowBlank="1" showInputMessage="1" showErrorMessage="1" sqref="AB11" xr:uid="{DB3CADF3-8BC5-476F-81CA-6BDA2C5277F8}">
      <formula1>$AS$11:$AT$11</formula1>
    </dataValidation>
    <dataValidation type="list" allowBlank="1" showInputMessage="1" showErrorMessage="1" sqref="AB17:AB19" xr:uid="{9350211D-61B2-4DA7-BE0E-7C11E1E6B433}">
      <formula1>AS11:AT11</formula1>
    </dataValidation>
    <dataValidation type="list" allowBlank="1" showInputMessage="1" showErrorMessage="1" sqref="AB198:AB206 AB106:AB107 AB76:AB81 AB50:AB53 AB89:AB90 AB27 AB140 AB245 AB129:AB136" xr:uid="{F0C1D095-7E66-46D9-A85F-66F520A2EB89}">
      <formula1>AR27:AU27</formula1>
    </dataValidation>
    <dataValidation type="list" allowBlank="1" showInputMessage="1" showErrorMessage="1" sqref="AB243 AB65 AB103:AB105 AB246 AB31 AB249:AB250 AB82:AB85" xr:uid="{D98CD08E-0EE3-4406-9E21-0FBC679D511E}">
      <formula1>AR31:AT31</formula1>
    </dataValidation>
    <dataValidation type="list" allowBlank="1" showInputMessage="1" showErrorMessage="1" sqref="AB54:AB56" xr:uid="{4C2207EF-568B-47C8-9151-2773F5E6F66A}">
      <formula1>$AS$54:$AT$54</formula1>
    </dataValidation>
    <dataValidation type="list" allowBlank="1" showInputMessage="1" showErrorMessage="1" sqref="AB72:AB75" xr:uid="{1331576C-E601-4F1C-A204-89C25D50F13A}">
      <formula1>$AR$72:$AW$72</formula1>
    </dataValidation>
    <dataValidation type="list" allowBlank="1" showInputMessage="1" showErrorMessage="1" sqref="AB153:AB156" xr:uid="{1D790340-B611-4D8C-807E-51EA2B2982E1}">
      <formula1>$AS$153:$AT$153</formula1>
    </dataValidation>
    <dataValidation type="list" allowBlank="1" showInputMessage="1" showErrorMessage="1" sqref="AB157:AB158" xr:uid="{B6D98BD2-E44A-45F0-85A9-DD6C63C7B0A6}">
      <formula1>$AS$157:$AT$157</formula1>
    </dataValidation>
    <dataValidation type="list" allowBlank="1" showInputMessage="1" showErrorMessage="1" sqref="AB38:AB44" xr:uid="{C3729FE3-E8D4-44CC-A21D-4515CC7AAB60}">
      <formula1>$AR$38:$AX$38</formula1>
    </dataValidation>
    <dataValidation type="list" allowBlank="1" showInputMessage="1" showErrorMessage="1" sqref="AB193:AB197" xr:uid="{BB53C0A7-3B79-4BA3-8464-4D5B1B5FF110}">
      <formula1>$AR$193:$AV$193</formula1>
    </dataValidation>
    <dataValidation type="list" allowBlank="1" showInputMessage="1" showErrorMessage="1" sqref="AB108:AB111" xr:uid="{75B977C5-2350-4159-ABB6-5AEF25C36DC6}">
      <formula1>$AR$108:$AV$108</formula1>
    </dataValidation>
    <dataValidation type="list" allowBlank="1" showInputMessage="1" showErrorMessage="1" sqref="AB45" xr:uid="{392145BC-95C6-4582-97CF-A0374FD78752}">
      <formula1>$AR$45:$AW$45</formula1>
    </dataValidation>
    <dataValidation type="list" allowBlank="1" showInputMessage="1" showErrorMessage="1" sqref="AB234 AB86:AB88 AB112:AB113 AB57:AB61 AB147:AB148 AB210:AB223 AB94 AB244 AB20 AB117:AB119 AB121 AB125 AB252:AB257 AB97:AB99 AB162:AB189" xr:uid="{023AEDB0-0A68-4401-A6A1-3F72B4EA8505}">
      <formula1>AIS_NA</formula1>
    </dataValidation>
  </dataValidations>
  <pageMargins left="0.25" right="0.25" top="0.75" bottom="0.75" header="0.3" footer="0.3"/>
  <pageSetup paperSize="9" scale="48" fitToHeight="0" orientation="landscape" r:id="rId1"/>
  <headerFooter>
    <oddFooter xml:space="preserve">&amp;L&amp;F&amp;C&amp;D&amp;RPage &amp;P of &amp;N  </oddFooter>
  </headerFooter>
  <ignoredErrors>
    <ignoredError sqref="O113:T123 V18:BE50 H225:T333 H152:M223 V17:W17 Z17:BE17 O17:P17 O18:Q18 S17:T18 V152:BE333 V51:X51 Z51:BE51 O152:T223 O124:Q124 S124:T124 V87:BE103 O87:T103 H87:M103 O137:T147 V137:BE147 H137:M147 H17:M68 O19:T68 V52:BE68 F69 H113:M135 V113:BE135 O125:T135 H224:M224 O224:T224 AA70:BE86 H70:M86 O70:T86 V70:Z86 H69:M69 Y105:BE112 V105:X112 H105:M112 O105:T112 F104 F105:F112 AA149:BE151 O149:T151 V149:Z151 H149:M151 F148 F149:F151 V69:Z69 V104:X104 V148:Z148 O69:T69 O104:T104 O148:T148 H104:M104 H148:M148" formula="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153" id="{26E8AFB8-EB8E-4549-91E2-6F0B5A9F2377}">
            <xm:f>$S$8='Assessment Details'!$Q$23</xm:f>
            <x14:dxf>
              <font>
                <color theme="0"/>
              </font>
              <fill>
                <patternFill>
                  <bgColor theme="0"/>
                </patternFill>
              </fill>
              <border>
                <left/>
                <right/>
                <top/>
                <bottom/>
                <vertical/>
                <horizontal/>
              </border>
            </x14:dxf>
          </x14:cfRule>
          <xm:sqref>N9:S103 N105:S135 N149:S224 N137:S147</xm:sqref>
        </x14:conditionalFormatting>
        <x14:conditionalFormatting xmlns:xm="http://schemas.microsoft.com/office/excel/2006/main">
          <x14:cfRule type="expression" priority="4489" id="{F07B10D0-2688-4D2D-9352-51F0145E8B48}">
            <xm:f>$S$8='Assessment Details'!$Q$23</xm:f>
            <x14:dxf>
              <border>
                <left style="thin">
                  <color theme="0"/>
                </left>
                <right style="thin">
                  <color theme="0"/>
                </right>
                <top style="thin">
                  <color theme="0"/>
                </top>
                <bottom style="thin">
                  <color theme="0"/>
                </bottom>
                <vertical/>
                <horizontal/>
              </border>
            </x14:dxf>
          </x14:cfRule>
          <xm:sqref>N145:O146 N191:O192 N224 N9:S10 N36:O37 N18:N19 N101:O102 N252:S257 N35 N63:O64 N92:O93 N115:O116 N160:O161 N208:O209 N210:N218 N62 N91 N100 N114 N144 N159 N190 N207 Q170:R171 Q40:R44 Q46:R49 Q51:R53 Q55:R56 Q58:R59 Q61:R61 Q66:R71 Q73:R75 Q77:R78 Q80:R81 N85 Q87:R88 Q90:R90 Q95:R96 Q99:R99 Q105:R105 Q107:R107 Q109:R111 Q113:R113 Q118:R120 Q122:R124 Q126:R128 Q137:R139 Q141:R143 Q149:R151 Q154:R154 Q156:R156 Q158:R158 Q163:R163 Q166:R168 Q173:R175 Q177:R179 Q181:R181 Q183:R184 Q186:R189 Q194:R194 Q199:R200 Q202:R203 Q205:R206 Q130:R134 Q196:R197 Q83:R85 S212:S223 Q160:R161 Q115:R116 Q92:R93 Q63:R64 Q101:R102 Q11:R37 Q191:R192 Q145:R146 Q208:R223 Q234:S234 N243:S244 N249:S250 N246:S246 Q224:S224 R164</xm:sqref>
        </x14:conditionalFormatting>
        <x14:conditionalFormatting xmlns:xm="http://schemas.microsoft.com/office/excel/2006/main">
          <x14:cfRule type="expression" priority="140" id="{1B653B29-3D42-40C1-932B-B69CCB31110E}">
            <xm:f>$Z$8='Assessment Details'!$Q$23</xm:f>
            <x14:dxf>
              <font>
                <color theme="0"/>
              </font>
              <fill>
                <patternFill>
                  <bgColor theme="0"/>
                </patternFill>
              </fill>
              <border>
                <left/>
                <right/>
                <top/>
                <bottom/>
              </border>
            </x14:dxf>
          </x14:cfRule>
          <xm:sqref>U9:Z68 U70:Z103 V69:Z69 U105:Z135 U149:Z224 U137:Z147</xm:sqref>
        </x14:conditionalFormatting>
        <x14:conditionalFormatting xmlns:xm="http://schemas.microsoft.com/office/excel/2006/main">
          <x14:cfRule type="expression" priority="4487" id="{EF72BBD8-21BF-47F9-A216-8FDC90D5599B}">
            <xm:f>$Z$8='Assessment Details'!$Q$23</xm:f>
            <x14:dxf>
              <border>
                <left style="thin">
                  <color theme="0"/>
                </left>
                <right style="thin">
                  <color theme="0"/>
                </right>
                <top style="thin">
                  <color theme="0"/>
                </top>
                <bottom style="thin">
                  <color theme="0"/>
                </bottom>
                <vertical/>
                <horizontal/>
              </border>
            </x14:dxf>
          </x14:cfRule>
          <xm:sqref>U145:V146 U191:V192 Z224 U9:Z10 X17:Y20 X249:Y249 X27:Y27 U36:V37 X11:Y11 X31:Y31 U101:V102 U254:Y254 U35 U63:V64 U92:V93 U115:V116 U160:V161 U208:V209 U210:U218 X170:Y171 X85:Y85 U85 X207:Y224 X159:Y161 X114:Y116 X91:Y93 X62:Y64 X100:Y102 X35:Y37 X190:Y192 X144:Y146</xm:sqref>
        </x14:conditionalFormatting>
        <x14:conditionalFormatting xmlns:xm="http://schemas.microsoft.com/office/excel/2006/main">
          <x14:cfRule type="expression" priority="4416" id="{3B48386A-6E88-435D-96E3-7ECE48307FC5}">
            <xm:f>$Z$8='Assessment Details'!$Q$23</xm:f>
            <x14:dxf>
              <font>
                <color theme="0"/>
              </font>
              <fill>
                <patternFill>
                  <bgColor theme="0"/>
                </patternFill>
              </fill>
            </x14:dxf>
          </x14:cfRule>
          <xm:sqref>AB9</xm:sqref>
        </x14:conditionalFormatting>
        <x14:conditionalFormatting xmlns:xm="http://schemas.microsoft.com/office/excel/2006/main">
          <x14:cfRule type="expression" priority="4415" id="{DD02E5C0-2556-4DD5-BD85-B262FB3B1D1C}">
            <xm:f>$Z$8='Assessment Details'!$Q$23</xm:f>
            <x14:dxf>
              <border>
                <left style="thin">
                  <color theme="0"/>
                </left>
                <right style="thin">
                  <color theme="0"/>
                </right>
                <top style="thin">
                  <color theme="0"/>
                </top>
                <bottom style="thin">
                  <color theme="0"/>
                </bottom>
                <vertical/>
                <horizontal/>
              </border>
            </x14:dxf>
          </x14:cfRule>
          <xm:sqref>AB9</xm:sqref>
        </x14:conditionalFormatting>
        <x14:conditionalFormatting xmlns:xm="http://schemas.microsoft.com/office/excel/2006/main">
          <x14:cfRule type="expression" priority="4278" id="{EB55F4F4-1DD4-4294-9406-21C3CBEF7E73}">
            <xm:f>$S$8='Assessment Details'!$Q$23</xm:f>
            <x14:dxf>
              <font>
                <color theme="0"/>
              </font>
              <fill>
                <patternFill>
                  <bgColor theme="0"/>
                </patternFill>
              </fill>
              <border>
                <vertical/>
                <horizontal/>
              </border>
            </x14:dxf>
          </x14:cfRule>
          <xm:sqref>N219</xm:sqref>
        </x14:conditionalFormatting>
        <x14:conditionalFormatting xmlns:xm="http://schemas.microsoft.com/office/excel/2006/main">
          <x14:cfRule type="expression" priority="4277" id="{F53F118C-8F6E-4BA5-BF71-8B5D02386E74}">
            <xm:f>$S$8='Assessment Details'!$Q$23</xm:f>
            <x14:dxf>
              <border>
                <left style="thin">
                  <color theme="0"/>
                </left>
                <right style="thin">
                  <color theme="0"/>
                </right>
                <top style="thin">
                  <color theme="0"/>
                </top>
                <bottom style="thin">
                  <color theme="0"/>
                </bottom>
                <vertical/>
                <horizontal/>
              </border>
            </x14:dxf>
          </x14:cfRule>
          <xm:sqref>N219</xm:sqref>
        </x14:conditionalFormatting>
        <x14:conditionalFormatting xmlns:xm="http://schemas.microsoft.com/office/excel/2006/main">
          <x14:cfRule type="expression" priority="4276" id="{AF28C966-0E6E-4749-BB73-48B9A7BC2ACE}">
            <xm:f>$Z$8='Assessment Details'!$Q$23</xm:f>
            <x14:dxf>
              <font>
                <color theme="0"/>
              </font>
              <fill>
                <patternFill>
                  <bgColor theme="0"/>
                </patternFill>
              </fill>
            </x14:dxf>
          </x14:cfRule>
          <xm:sqref>U219</xm:sqref>
        </x14:conditionalFormatting>
        <x14:conditionalFormatting xmlns:xm="http://schemas.microsoft.com/office/excel/2006/main">
          <x14:cfRule type="expression" priority="4275" id="{C4A652AD-542D-4A51-8B0A-38440CC32874}">
            <xm:f>$Z$8='Assessment Details'!$Q$23</xm:f>
            <x14:dxf>
              <border>
                <left style="thin">
                  <color theme="0"/>
                </left>
                <right style="thin">
                  <color theme="0"/>
                </right>
                <top style="thin">
                  <color theme="0"/>
                </top>
                <bottom style="thin">
                  <color theme="0"/>
                </bottom>
                <vertical/>
                <horizontal/>
              </border>
            </x14:dxf>
          </x14:cfRule>
          <xm:sqref>U219</xm:sqref>
        </x14:conditionalFormatting>
        <x14:conditionalFormatting xmlns:xm="http://schemas.microsoft.com/office/excel/2006/main">
          <x14:cfRule type="expression" priority="4258" id="{C6F0C1E9-58BE-4F8C-8B3F-826B41B00157}">
            <xm:f>$S$8='Assessment Details'!$Q$23</xm:f>
            <x14:dxf>
              <font>
                <color theme="0"/>
              </font>
              <fill>
                <patternFill>
                  <bgColor theme="0"/>
                </patternFill>
              </fill>
              <border>
                <vertical/>
                <horizontal/>
              </border>
            </x14:dxf>
          </x14:cfRule>
          <xm:sqref>N220</xm:sqref>
        </x14:conditionalFormatting>
        <x14:conditionalFormatting xmlns:xm="http://schemas.microsoft.com/office/excel/2006/main">
          <x14:cfRule type="expression" priority="4257" id="{3C90B44D-5A49-480C-AAEF-2497645946C8}">
            <xm:f>$S$8='Assessment Details'!$Q$23</xm:f>
            <x14:dxf>
              <border>
                <left style="thin">
                  <color theme="0"/>
                </left>
                <right style="thin">
                  <color theme="0"/>
                </right>
                <top style="thin">
                  <color theme="0"/>
                </top>
                <bottom style="thin">
                  <color theme="0"/>
                </bottom>
                <vertical/>
                <horizontal/>
              </border>
            </x14:dxf>
          </x14:cfRule>
          <xm:sqref>N220</xm:sqref>
        </x14:conditionalFormatting>
        <x14:conditionalFormatting xmlns:xm="http://schemas.microsoft.com/office/excel/2006/main">
          <x14:cfRule type="expression" priority="4256" id="{5F40EE38-1188-4DBF-AAA8-FD83D80F7088}">
            <xm:f>$Z$8='Assessment Details'!$Q$23</xm:f>
            <x14:dxf>
              <font>
                <color theme="0"/>
              </font>
              <fill>
                <patternFill>
                  <bgColor theme="0"/>
                </patternFill>
              </fill>
            </x14:dxf>
          </x14:cfRule>
          <xm:sqref>U220</xm:sqref>
        </x14:conditionalFormatting>
        <x14:conditionalFormatting xmlns:xm="http://schemas.microsoft.com/office/excel/2006/main">
          <x14:cfRule type="expression" priority="4255" id="{BD2D5A2E-1C75-476A-B6A3-98481EF96DC5}">
            <xm:f>$Z$8='Assessment Details'!$Q$23</xm:f>
            <x14:dxf>
              <border>
                <left style="thin">
                  <color theme="0"/>
                </left>
                <right style="thin">
                  <color theme="0"/>
                </right>
                <top style="thin">
                  <color theme="0"/>
                </top>
                <bottom style="thin">
                  <color theme="0"/>
                </bottom>
                <vertical/>
                <horizontal/>
              </border>
            </x14:dxf>
          </x14:cfRule>
          <xm:sqref>U220</xm:sqref>
        </x14:conditionalFormatting>
        <x14:conditionalFormatting xmlns:xm="http://schemas.microsoft.com/office/excel/2006/main">
          <x14:cfRule type="expression" priority="4238" id="{46247BBD-A873-4922-8750-3D09E8184D0D}">
            <xm:f>$S$8='Assessment Details'!$Q$23</xm:f>
            <x14:dxf>
              <font>
                <color theme="0"/>
              </font>
              <fill>
                <patternFill>
                  <bgColor theme="0"/>
                </patternFill>
              </fill>
              <border>
                <vertical/>
                <horizontal/>
              </border>
            </x14:dxf>
          </x14:cfRule>
          <xm:sqref>N221</xm:sqref>
        </x14:conditionalFormatting>
        <x14:conditionalFormatting xmlns:xm="http://schemas.microsoft.com/office/excel/2006/main">
          <x14:cfRule type="expression" priority="4237" id="{37C47E48-8E86-4D2F-AF4E-5484360E7AD9}">
            <xm:f>$S$8='Assessment Details'!$Q$23</xm:f>
            <x14:dxf>
              <border>
                <left style="thin">
                  <color theme="0"/>
                </left>
                <right style="thin">
                  <color theme="0"/>
                </right>
                <top style="thin">
                  <color theme="0"/>
                </top>
                <bottom style="thin">
                  <color theme="0"/>
                </bottom>
                <vertical/>
                <horizontal/>
              </border>
            </x14:dxf>
          </x14:cfRule>
          <xm:sqref>N221</xm:sqref>
        </x14:conditionalFormatting>
        <x14:conditionalFormatting xmlns:xm="http://schemas.microsoft.com/office/excel/2006/main">
          <x14:cfRule type="expression" priority="4236" id="{02418F47-1C4E-4E82-902A-C7E9C07A07DC}">
            <xm:f>$Z$8='Assessment Details'!$Q$23</xm:f>
            <x14:dxf>
              <font>
                <color theme="0"/>
              </font>
              <fill>
                <patternFill>
                  <bgColor theme="0"/>
                </patternFill>
              </fill>
            </x14:dxf>
          </x14:cfRule>
          <xm:sqref>U221</xm:sqref>
        </x14:conditionalFormatting>
        <x14:conditionalFormatting xmlns:xm="http://schemas.microsoft.com/office/excel/2006/main">
          <x14:cfRule type="expression" priority="4235" id="{1C3DBDD0-C41F-468D-843F-A3B47D9BCC0F}">
            <xm:f>$Z$8='Assessment Details'!$Q$23</xm:f>
            <x14:dxf>
              <border>
                <left style="thin">
                  <color theme="0"/>
                </left>
                <right style="thin">
                  <color theme="0"/>
                </right>
                <top style="thin">
                  <color theme="0"/>
                </top>
                <bottom style="thin">
                  <color theme="0"/>
                </bottom>
                <vertical/>
                <horizontal/>
              </border>
            </x14:dxf>
          </x14:cfRule>
          <xm:sqref>U221</xm:sqref>
        </x14:conditionalFormatting>
        <x14:conditionalFormatting xmlns:xm="http://schemas.microsoft.com/office/excel/2006/main">
          <x14:cfRule type="expression" priority="4218" id="{CD4EB85A-D7F1-43AC-8452-720AB857931A}">
            <xm:f>$S$8='Assessment Details'!$Q$23</xm:f>
            <x14:dxf>
              <font>
                <color theme="0"/>
              </font>
              <fill>
                <patternFill>
                  <bgColor theme="0"/>
                </patternFill>
              </fill>
              <border>
                <vertical/>
                <horizontal/>
              </border>
            </x14:dxf>
          </x14:cfRule>
          <xm:sqref>N222</xm:sqref>
        </x14:conditionalFormatting>
        <x14:conditionalFormatting xmlns:xm="http://schemas.microsoft.com/office/excel/2006/main">
          <x14:cfRule type="expression" priority="4217" id="{3DC3B8C6-7B5E-4404-976C-3A3832AD9D64}">
            <xm:f>$S$8='Assessment Details'!$Q$23</xm:f>
            <x14:dxf>
              <border>
                <left style="thin">
                  <color theme="0"/>
                </left>
                <right style="thin">
                  <color theme="0"/>
                </right>
                <top style="thin">
                  <color theme="0"/>
                </top>
                <bottom style="thin">
                  <color theme="0"/>
                </bottom>
                <vertical/>
                <horizontal/>
              </border>
            </x14:dxf>
          </x14:cfRule>
          <xm:sqref>N222</xm:sqref>
        </x14:conditionalFormatting>
        <x14:conditionalFormatting xmlns:xm="http://schemas.microsoft.com/office/excel/2006/main">
          <x14:cfRule type="expression" priority="4216" id="{BC251D69-11C2-4540-8D77-657BD1491065}">
            <xm:f>$Z$8='Assessment Details'!$Q$23</xm:f>
            <x14:dxf>
              <font>
                <color theme="0"/>
              </font>
              <fill>
                <patternFill>
                  <bgColor theme="0"/>
                </patternFill>
              </fill>
            </x14:dxf>
          </x14:cfRule>
          <xm:sqref>U222</xm:sqref>
        </x14:conditionalFormatting>
        <x14:conditionalFormatting xmlns:xm="http://schemas.microsoft.com/office/excel/2006/main">
          <x14:cfRule type="expression" priority="4215" id="{091DEED1-E318-4562-ACE6-E415E5633351}">
            <xm:f>$Z$8='Assessment Details'!$Q$23</xm:f>
            <x14:dxf>
              <border>
                <left style="thin">
                  <color theme="0"/>
                </left>
                <right style="thin">
                  <color theme="0"/>
                </right>
                <top style="thin">
                  <color theme="0"/>
                </top>
                <bottom style="thin">
                  <color theme="0"/>
                </bottom>
                <vertical/>
                <horizontal/>
              </border>
            </x14:dxf>
          </x14:cfRule>
          <xm:sqref>U222</xm:sqref>
        </x14:conditionalFormatting>
        <x14:conditionalFormatting xmlns:xm="http://schemas.microsoft.com/office/excel/2006/main">
          <x14:cfRule type="expression" priority="4196" id="{2B1EC8D9-8898-47AD-9A7F-C907B78FA3E3}">
            <xm:f>$Z$8='Assessment Details'!$Q$23</xm:f>
            <x14:dxf>
              <font>
                <color theme="0"/>
              </font>
              <fill>
                <patternFill>
                  <bgColor theme="0"/>
                </patternFill>
              </fill>
            </x14:dxf>
          </x14:cfRule>
          <xm:sqref>U253:Y253</xm:sqref>
        </x14:conditionalFormatting>
        <x14:conditionalFormatting xmlns:xm="http://schemas.microsoft.com/office/excel/2006/main">
          <x14:cfRule type="expression" priority="4195" id="{16217C15-98ED-40E1-9D3C-D8F9EAA14716}">
            <xm:f>$Z$8='Assessment Details'!$Q$23</xm:f>
            <x14:dxf>
              <border>
                <left style="thin">
                  <color theme="0"/>
                </left>
                <right style="thin">
                  <color theme="0"/>
                </right>
                <top style="thin">
                  <color theme="0"/>
                </top>
                <bottom style="thin">
                  <color theme="0"/>
                </bottom>
                <vertical/>
                <horizontal/>
              </border>
            </x14:dxf>
          </x14:cfRule>
          <xm:sqref>U253:Y253</xm:sqref>
        </x14:conditionalFormatting>
        <x14:conditionalFormatting xmlns:xm="http://schemas.microsoft.com/office/excel/2006/main">
          <x14:cfRule type="expression" priority="4172" id="{003CF9C3-5882-4AE5-9825-DD5F562997CA}">
            <xm:f>$Z$8='Assessment Details'!$Q$23</xm:f>
            <x14:dxf>
              <font>
                <color theme="0"/>
              </font>
              <fill>
                <patternFill>
                  <bgColor theme="0"/>
                </patternFill>
              </fill>
            </x14:dxf>
          </x14:cfRule>
          <xm:sqref>X234:Y234</xm:sqref>
        </x14:conditionalFormatting>
        <x14:conditionalFormatting xmlns:xm="http://schemas.microsoft.com/office/excel/2006/main">
          <x14:cfRule type="expression" priority="4171" id="{506DB9F6-CF47-4A3E-8BDC-0CF6F0FB1801}">
            <xm:f>$Z$8='Assessment Details'!$Q$23</xm:f>
            <x14:dxf>
              <border>
                <left style="thin">
                  <color theme="0"/>
                </left>
                <right style="thin">
                  <color theme="0"/>
                </right>
                <top style="thin">
                  <color theme="0"/>
                </top>
                <bottom style="thin">
                  <color theme="0"/>
                </bottom>
                <vertical/>
                <horizontal/>
              </border>
            </x14:dxf>
          </x14:cfRule>
          <xm:sqref>X234:Y234</xm:sqref>
        </x14:conditionalFormatting>
        <x14:conditionalFormatting xmlns:xm="http://schemas.microsoft.com/office/excel/2006/main">
          <x14:cfRule type="expression" priority="4166" id="{65CE01A1-5605-4EA8-9C68-7A192DC9BB8C}">
            <xm:f>$S$8='Assessment Details'!$Q$23</xm:f>
            <x14:dxf>
              <font>
                <color theme="0"/>
              </font>
              <fill>
                <patternFill>
                  <bgColor theme="0"/>
                </patternFill>
              </fill>
              <border>
                <vertical/>
                <horizontal/>
              </border>
            </x14:dxf>
          </x14:cfRule>
          <xm:sqref>N234:P234</xm:sqref>
        </x14:conditionalFormatting>
        <x14:conditionalFormatting xmlns:xm="http://schemas.microsoft.com/office/excel/2006/main">
          <x14:cfRule type="expression" priority="4165" id="{1E118A00-84A7-423B-BFC9-B87735183CA0}">
            <xm:f>$S$8='Assessment Details'!$Q$23</xm:f>
            <x14:dxf>
              <border>
                <left style="thin">
                  <color theme="0"/>
                </left>
                <right style="thin">
                  <color theme="0"/>
                </right>
                <top style="thin">
                  <color theme="0"/>
                </top>
                <bottom style="thin">
                  <color theme="0"/>
                </bottom>
                <vertical/>
                <horizontal/>
              </border>
            </x14:dxf>
          </x14:cfRule>
          <xm:sqref>N234:P234</xm:sqref>
        </x14:conditionalFormatting>
        <x14:conditionalFormatting xmlns:xm="http://schemas.microsoft.com/office/excel/2006/main">
          <x14:cfRule type="expression" priority="4162" id="{E03EFE18-FBBD-40FC-BDF3-34AF33D8729A}">
            <xm:f>$S$8='Assessment Details'!$Q$23</xm:f>
            <x14:dxf>
              <font>
                <color theme="0"/>
              </font>
              <fill>
                <patternFill>
                  <bgColor theme="0"/>
                </patternFill>
              </fill>
              <border>
                <vertical/>
                <horizontal/>
              </border>
            </x14:dxf>
          </x14:cfRule>
          <xm:sqref>U234:W234</xm:sqref>
        </x14:conditionalFormatting>
        <x14:conditionalFormatting xmlns:xm="http://schemas.microsoft.com/office/excel/2006/main">
          <x14:cfRule type="expression" priority="4161" id="{1B409915-313F-482D-9590-169533B82CE8}">
            <xm:f>$S$8='Assessment Details'!$Q$23</xm:f>
            <x14:dxf>
              <border>
                <left style="thin">
                  <color theme="0"/>
                </left>
                <right style="thin">
                  <color theme="0"/>
                </right>
                <top style="thin">
                  <color theme="0"/>
                </top>
                <bottom style="thin">
                  <color theme="0"/>
                </bottom>
                <vertical/>
                <horizontal/>
              </border>
            </x14:dxf>
          </x14:cfRule>
          <xm:sqref>U234:W234</xm:sqref>
        </x14:conditionalFormatting>
        <x14:conditionalFormatting xmlns:xm="http://schemas.microsoft.com/office/excel/2006/main">
          <x14:cfRule type="expression" priority="4141" id="{C23D9E8F-AD36-4F36-8873-6C2B93A98BF5}">
            <xm:f>$Z$8='Assessment Details'!$Q$23</xm:f>
            <x14:dxf>
              <font>
                <color theme="0"/>
              </font>
              <fill>
                <patternFill>
                  <bgColor theme="0"/>
                </patternFill>
              </fill>
            </x14:dxf>
          </x14:cfRule>
          <xm:sqref>X243:Y243</xm:sqref>
        </x14:conditionalFormatting>
        <x14:conditionalFormatting xmlns:xm="http://schemas.microsoft.com/office/excel/2006/main">
          <x14:cfRule type="expression" priority="4140" id="{9F798C84-7CB0-48B5-8C29-E9F67D86CAF5}">
            <xm:f>$Z$8='Assessment Details'!$Q$23</xm:f>
            <x14:dxf>
              <border>
                <left style="thin">
                  <color theme="0"/>
                </left>
                <right style="thin">
                  <color theme="0"/>
                </right>
                <top style="thin">
                  <color theme="0"/>
                </top>
                <bottom style="thin">
                  <color theme="0"/>
                </bottom>
                <vertical/>
                <horizontal/>
              </border>
            </x14:dxf>
          </x14:cfRule>
          <xm:sqref>X243:Y243</xm:sqref>
        </x14:conditionalFormatting>
        <x14:conditionalFormatting xmlns:xm="http://schemas.microsoft.com/office/excel/2006/main">
          <x14:cfRule type="expression" priority="4115" id="{8584CAA5-EBD7-42B8-9D58-8DBF5321B526}">
            <xm:f>$Z$8='Assessment Details'!$Q$23</xm:f>
            <x14:dxf>
              <font>
                <color theme="0"/>
              </font>
              <fill>
                <patternFill>
                  <bgColor theme="0"/>
                </patternFill>
              </fill>
            </x14:dxf>
          </x14:cfRule>
          <xm:sqref>U243:W243</xm:sqref>
        </x14:conditionalFormatting>
        <x14:conditionalFormatting xmlns:xm="http://schemas.microsoft.com/office/excel/2006/main">
          <x14:cfRule type="expression" priority="4114" id="{36D9EACB-D66B-4BD5-96E8-8BAC3D7006C4}">
            <xm:f>$Z$8='Assessment Details'!$Q$23</xm:f>
            <x14:dxf>
              <border>
                <left style="thin">
                  <color theme="0"/>
                </left>
                <right style="thin">
                  <color theme="0"/>
                </right>
                <top style="thin">
                  <color theme="0"/>
                </top>
                <bottom style="thin">
                  <color theme="0"/>
                </bottom>
                <vertical/>
                <horizontal/>
              </border>
            </x14:dxf>
          </x14:cfRule>
          <xm:sqref>U243:W243</xm:sqref>
        </x14:conditionalFormatting>
        <x14:conditionalFormatting xmlns:xm="http://schemas.microsoft.com/office/excel/2006/main">
          <x14:cfRule type="expression" priority="4104" id="{BD68F092-7696-4BAF-B97A-D33E8A53C89A}">
            <xm:f>$Z$8='Assessment Details'!$Q$23</xm:f>
            <x14:dxf>
              <font>
                <color theme="0"/>
              </font>
              <fill>
                <patternFill>
                  <bgColor theme="0"/>
                </patternFill>
              </fill>
            </x14:dxf>
          </x14:cfRule>
          <xm:sqref>U249:W249</xm:sqref>
        </x14:conditionalFormatting>
        <x14:conditionalFormatting xmlns:xm="http://schemas.microsoft.com/office/excel/2006/main">
          <x14:cfRule type="expression" priority="4103" id="{E90D7E1E-28DA-47D4-AABC-E60720466AF9}">
            <xm:f>$Z$8='Assessment Details'!$Q$23</xm:f>
            <x14:dxf>
              <border>
                <left style="thin">
                  <color theme="0"/>
                </left>
                <right style="thin">
                  <color theme="0"/>
                </right>
                <top style="thin">
                  <color theme="0"/>
                </top>
                <bottom style="thin">
                  <color theme="0"/>
                </bottom>
                <vertical/>
                <horizontal/>
              </border>
            </x14:dxf>
          </x14:cfRule>
          <xm:sqref>U249:W249</xm:sqref>
        </x14:conditionalFormatting>
        <x14:conditionalFormatting xmlns:xm="http://schemas.microsoft.com/office/excel/2006/main">
          <x14:cfRule type="expression" priority="4085" id="{4B51EF7C-4C0C-4E96-BBDD-2D04B5CAC58C}">
            <xm:f>$Z$8='Assessment Details'!$Q$23</xm:f>
            <x14:dxf>
              <font>
                <color theme="0"/>
              </font>
              <fill>
                <patternFill>
                  <bgColor theme="0"/>
                </patternFill>
              </fill>
            </x14:dxf>
          </x14:cfRule>
          <xm:sqref>X244:Y244</xm:sqref>
        </x14:conditionalFormatting>
        <x14:conditionalFormatting xmlns:xm="http://schemas.microsoft.com/office/excel/2006/main">
          <x14:cfRule type="expression" priority="4084" id="{F4CA5879-5898-4CE4-B06A-915C45E07AED}">
            <xm:f>$Z$8='Assessment Details'!$Q$23</xm:f>
            <x14:dxf>
              <border>
                <left style="thin">
                  <color theme="0"/>
                </left>
                <right style="thin">
                  <color theme="0"/>
                </right>
                <top style="thin">
                  <color theme="0"/>
                </top>
                <bottom style="thin">
                  <color theme="0"/>
                </bottom>
                <vertical/>
                <horizontal/>
              </border>
            </x14:dxf>
          </x14:cfRule>
          <xm:sqref>X244:Y244</xm:sqref>
        </x14:conditionalFormatting>
        <x14:conditionalFormatting xmlns:xm="http://schemas.microsoft.com/office/excel/2006/main">
          <x14:cfRule type="expression" priority="4065" id="{1863681A-C5A6-469C-9BF7-D98DE7D964C1}">
            <xm:f>$Z$8='Assessment Details'!$Q$23</xm:f>
            <x14:dxf>
              <font>
                <color theme="0"/>
              </font>
              <fill>
                <patternFill>
                  <bgColor theme="0"/>
                </patternFill>
              </fill>
            </x14:dxf>
          </x14:cfRule>
          <xm:sqref>U244:W244</xm:sqref>
        </x14:conditionalFormatting>
        <x14:conditionalFormatting xmlns:xm="http://schemas.microsoft.com/office/excel/2006/main">
          <x14:cfRule type="expression" priority="4064" id="{E733F3F7-9EE8-48C1-A76B-CE9B4A611C8F}">
            <xm:f>$Z$8='Assessment Details'!$Q$23</xm:f>
            <x14:dxf>
              <border>
                <left style="thin">
                  <color theme="0"/>
                </left>
                <right style="thin">
                  <color theme="0"/>
                </right>
                <top style="thin">
                  <color theme="0"/>
                </top>
                <bottom style="thin">
                  <color theme="0"/>
                </bottom>
                <vertical/>
                <horizontal/>
              </border>
            </x14:dxf>
          </x14:cfRule>
          <xm:sqref>U244:W244</xm:sqref>
        </x14:conditionalFormatting>
        <x14:conditionalFormatting xmlns:xm="http://schemas.microsoft.com/office/excel/2006/main">
          <x14:cfRule type="expression" priority="4054" id="{DDEF0701-07C5-4E7E-8FD2-669EF36B4A6C}">
            <xm:f>$Z$8='Assessment Details'!$Q$23</xm:f>
            <x14:dxf>
              <font>
                <color theme="0"/>
              </font>
              <fill>
                <patternFill>
                  <bgColor theme="0"/>
                </patternFill>
              </fill>
            </x14:dxf>
          </x14:cfRule>
          <xm:sqref>X246:Y246</xm:sqref>
        </x14:conditionalFormatting>
        <x14:conditionalFormatting xmlns:xm="http://schemas.microsoft.com/office/excel/2006/main">
          <x14:cfRule type="expression" priority="4053" id="{6AA86BA3-135E-4FD5-AE20-0C1DD4832BF4}">
            <xm:f>$Z$8='Assessment Details'!$Q$23</xm:f>
            <x14:dxf>
              <border>
                <left style="thin">
                  <color theme="0"/>
                </left>
                <right style="thin">
                  <color theme="0"/>
                </right>
                <top style="thin">
                  <color theme="0"/>
                </top>
                <bottom style="thin">
                  <color theme="0"/>
                </bottom>
                <vertical/>
                <horizontal/>
              </border>
            </x14:dxf>
          </x14:cfRule>
          <xm:sqref>X246:Y246</xm:sqref>
        </x14:conditionalFormatting>
        <x14:conditionalFormatting xmlns:xm="http://schemas.microsoft.com/office/excel/2006/main">
          <x14:cfRule type="expression" priority="4039" id="{D7772031-3012-43A4-9FDA-021CF7E6AC75}">
            <xm:f>$Z$8='Assessment Details'!$Q$23</xm:f>
            <x14:dxf>
              <font>
                <color theme="0"/>
              </font>
              <fill>
                <patternFill>
                  <bgColor theme="0"/>
                </patternFill>
              </fill>
            </x14:dxf>
          </x14:cfRule>
          <xm:sqref>U246:W246</xm:sqref>
        </x14:conditionalFormatting>
        <x14:conditionalFormatting xmlns:xm="http://schemas.microsoft.com/office/excel/2006/main">
          <x14:cfRule type="expression" priority="4038" id="{284B85CE-0DE8-4D71-A1D7-56A9956F500E}">
            <xm:f>$Z$8='Assessment Details'!$Q$23</xm:f>
            <x14:dxf>
              <border>
                <left style="thin">
                  <color theme="0"/>
                </left>
                <right style="thin">
                  <color theme="0"/>
                </right>
                <top style="thin">
                  <color theme="0"/>
                </top>
                <bottom style="thin">
                  <color theme="0"/>
                </bottom>
                <vertical/>
                <horizontal/>
              </border>
            </x14:dxf>
          </x14:cfRule>
          <xm:sqref>U246:W246</xm:sqref>
        </x14:conditionalFormatting>
        <x14:conditionalFormatting xmlns:xm="http://schemas.microsoft.com/office/excel/2006/main">
          <x14:cfRule type="expression" priority="4028" id="{089B1A5E-D6F8-4926-BCCD-A2B7E5A02655}">
            <xm:f>$Z$8='Assessment Details'!$Q$23</xm:f>
            <x14:dxf>
              <font>
                <color theme="0"/>
              </font>
              <fill>
                <patternFill>
                  <bgColor theme="0"/>
                </patternFill>
              </fill>
            </x14:dxf>
          </x14:cfRule>
          <xm:sqref>X250:Y250</xm:sqref>
        </x14:conditionalFormatting>
        <x14:conditionalFormatting xmlns:xm="http://schemas.microsoft.com/office/excel/2006/main">
          <x14:cfRule type="expression" priority="4027" id="{2E73FD9D-0124-4E9A-BBF1-07A3CE176EEC}">
            <xm:f>$Z$8='Assessment Details'!$Q$23</xm:f>
            <x14:dxf>
              <border>
                <left style="thin">
                  <color theme="0"/>
                </left>
                <right style="thin">
                  <color theme="0"/>
                </right>
                <top style="thin">
                  <color theme="0"/>
                </top>
                <bottom style="thin">
                  <color theme="0"/>
                </bottom>
                <vertical/>
                <horizontal/>
              </border>
            </x14:dxf>
          </x14:cfRule>
          <xm:sqref>X250:Y250</xm:sqref>
        </x14:conditionalFormatting>
        <x14:conditionalFormatting xmlns:xm="http://schemas.microsoft.com/office/excel/2006/main">
          <x14:cfRule type="expression" priority="4013" id="{3E1A5667-438E-4E2D-A819-A6E789848E50}">
            <xm:f>$Z$8='Assessment Details'!$Q$23</xm:f>
            <x14:dxf>
              <font>
                <color theme="0"/>
              </font>
              <fill>
                <patternFill>
                  <bgColor theme="0"/>
                </patternFill>
              </fill>
            </x14:dxf>
          </x14:cfRule>
          <xm:sqref>U250:W250</xm:sqref>
        </x14:conditionalFormatting>
        <x14:conditionalFormatting xmlns:xm="http://schemas.microsoft.com/office/excel/2006/main">
          <x14:cfRule type="expression" priority="4012" id="{548FE308-7257-4041-A67A-44E3146350BC}">
            <xm:f>$Z$8='Assessment Details'!$Q$23</xm:f>
            <x14:dxf>
              <border>
                <left style="thin">
                  <color theme="0"/>
                </left>
                <right style="thin">
                  <color theme="0"/>
                </right>
                <top style="thin">
                  <color theme="0"/>
                </top>
                <bottom style="thin">
                  <color theme="0"/>
                </bottom>
                <vertical/>
                <horizontal/>
              </border>
            </x14:dxf>
          </x14:cfRule>
          <xm:sqref>U250:W250</xm:sqref>
        </x14:conditionalFormatting>
        <x14:conditionalFormatting xmlns:xm="http://schemas.microsoft.com/office/excel/2006/main">
          <x14:cfRule type="expression" priority="3994" id="{40A6C918-0285-4793-B4C0-2A0509B70D59}">
            <xm:f>$Z$8='Assessment Details'!$Q$23</xm:f>
            <x14:dxf>
              <font>
                <color theme="0"/>
              </font>
              <fill>
                <patternFill>
                  <bgColor theme="0"/>
                </patternFill>
              </fill>
            </x14:dxf>
          </x14:cfRule>
          <xm:sqref>X257:Y257</xm:sqref>
        </x14:conditionalFormatting>
        <x14:conditionalFormatting xmlns:xm="http://schemas.microsoft.com/office/excel/2006/main">
          <x14:cfRule type="expression" priority="3993" id="{8030EB4F-35E3-4365-929E-A938099568DB}">
            <xm:f>$Z$8='Assessment Details'!$Q$23</xm:f>
            <x14:dxf>
              <border>
                <left style="thin">
                  <color theme="0"/>
                </left>
                <right style="thin">
                  <color theme="0"/>
                </right>
                <top style="thin">
                  <color theme="0"/>
                </top>
                <bottom style="thin">
                  <color theme="0"/>
                </bottom>
                <vertical/>
                <horizontal/>
              </border>
            </x14:dxf>
          </x14:cfRule>
          <xm:sqref>X257:Y257</xm:sqref>
        </x14:conditionalFormatting>
        <x14:conditionalFormatting xmlns:xm="http://schemas.microsoft.com/office/excel/2006/main">
          <x14:cfRule type="expression" priority="3974" id="{70461200-1D86-4E38-AFA9-416F4C9719C2}">
            <xm:f>$Z$8='Assessment Details'!$Q$23</xm:f>
            <x14:dxf>
              <font>
                <color theme="0"/>
              </font>
              <fill>
                <patternFill>
                  <bgColor theme="0"/>
                </patternFill>
              </fill>
            </x14:dxf>
          </x14:cfRule>
          <xm:sqref>U257:W257</xm:sqref>
        </x14:conditionalFormatting>
        <x14:conditionalFormatting xmlns:xm="http://schemas.microsoft.com/office/excel/2006/main">
          <x14:cfRule type="expression" priority="3973" id="{3254B1F7-7614-4BEA-A0E0-0BC3006B01C7}">
            <xm:f>$Z$8='Assessment Details'!$Q$23</xm:f>
            <x14:dxf>
              <border>
                <left style="thin">
                  <color theme="0"/>
                </left>
                <right style="thin">
                  <color theme="0"/>
                </right>
                <top style="thin">
                  <color theme="0"/>
                </top>
                <bottom style="thin">
                  <color theme="0"/>
                </bottom>
                <vertical/>
                <horizontal/>
              </border>
            </x14:dxf>
          </x14:cfRule>
          <xm:sqref>U257:W257</xm:sqref>
        </x14:conditionalFormatting>
        <x14:conditionalFormatting xmlns:xm="http://schemas.microsoft.com/office/excel/2006/main">
          <x14:cfRule type="expression" priority="3961" id="{D6A69441-03E9-4327-8284-0BDA0464EEB2}">
            <xm:f>$Z$8='Assessment Details'!$Q$23</xm:f>
            <x14:dxf>
              <font>
                <color theme="0"/>
              </font>
              <fill>
                <patternFill>
                  <bgColor theme="0"/>
                </patternFill>
              </fill>
            </x14:dxf>
          </x14:cfRule>
          <xm:sqref>X252:Y252</xm:sqref>
        </x14:conditionalFormatting>
        <x14:conditionalFormatting xmlns:xm="http://schemas.microsoft.com/office/excel/2006/main">
          <x14:cfRule type="expression" priority="3960" id="{BAD3BC7F-0FB0-48CA-B45D-D3FDD9803F43}">
            <xm:f>$Z$8='Assessment Details'!$Q$23</xm:f>
            <x14:dxf>
              <border>
                <left style="thin">
                  <color theme="0"/>
                </left>
                <right style="thin">
                  <color theme="0"/>
                </right>
                <top style="thin">
                  <color theme="0"/>
                </top>
                <bottom style="thin">
                  <color theme="0"/>
                </bottom>
                <vertical/>
                <horizontal/>
              </border>
            </x14:dxf>
          </x14:cfRule>
          <xm:sqref>X252:Y252</xm:sqref>
        </x14:conditionalFormatting>
        <x14:conditionalFormatting xmlns:xm="http://schemas.microsoft.com/office/excel/2006/main">
          <x14:cfRule type="expression" priority="3949" id="{05CD3DBD-1D3C-47C4-979A-3B6551DB1F7B}">
            <xm:f>$Z$8='Assessment Details'!$Q$23</xm:f>
            <x14:dxf>
              <font>
                <color theme="0"/>
              </font>
              <fill>
                <patternFill>
                  <bgColor theme="0"/>
                </patternFill>
              </fill>
            </x14:dxf>
          </x14:cfRule>
          <xm:sqref>U252:W252</xm:sqref>
        </x14:conditionalFormatting>
        <x14:conditionalFormatting xmlns:xm="http://schemas.microsoft.com/office/excel/2006/main">
          <x14:cfRule type="expression" priority="3948" id="{E2809547-3D6A-400D-A44D-0B08F3FA074E}">
            <xm:f>$Z$8='Assessment Details'!$Q$23</xm:f>
            <x14:dxf>
              <border>
                <left style="thin">
                  <color theme="0"/>
                </left>
                <right style="thin">
                  <color theme="0"/>
                </right>
                <top style="thin">
                  <color theme="0"/>
                </top>
                <bottom style="thin">
                  <color theme="0"/>
                </bottom>
                <vertical/>
                <horizontal/>
              </border>
            </x14:dxf>
          </x14:cfRule>
          <xm:sqref>U252:W252</xm:sqref>
        </x14:conditionalFormatting>
        <x14:conditionalFormatting xmlns:xm="http://schemas.microsoft.com/office/excel/2006/main">
          <x14:cfRule type="expression" priority="3927" id="{399F52E0-54B9-42D8-B324-B9E504AB42A4}">
            <xm:f>$Z$8='Assessment Details'!$Q$23</xm:f>
            <x14:dxf>
              <font>
                <color theme="0"/>
              </font>
              <fill>
                <patternFill>
                  <bgColor theme="0"/>
                </patternFill>
              </fill>
            </x14:dxf>
          </x14:cfRule>
          <xm:sqref>U255:Y255</xm:sqref>
        </x14:conditionalFormatting>
        <x14:conditionalFormatting xmlns:xm="http://schemas.microsoft.com/office/excel/2006/main">
          <x14:cfRule type="expression" priority="3926" id="{AF88DC5A-E5BA-44F0-AA24-E74C2F4C750A}">
            <xm:f>$Z$8='Assessment Details'!$Q$23</xm:f>
            <x14:dxf>
              <border>
                <left style="thin">
                  <color theme="0"/>
                </left>
                <right style="thin">
                  <color theme="0"/>
                </right>
                <top style="thin">
                  <color theme="0"/>
                </top>
                <bottom style="thin">
                  <color theme="0"/>
                </bottom>
                <vertical/>
                <horizontal/>
              </border>
            </x14:dxf>
          </x14:cfRule>
          <xm:sqref>U255:Y255</xm:sqref>
        </x14:conditionalFormatting>
        <x14:conditionalFormatting xmlns:xm="http://schemas.microsoft.com/office/excel/2006/main">
          <x14:cfRule type="expression" priority="3905" id="{8171F4EA-E567-40FF-BC0B-6FCFBEC7F2DA}">
            <xm:f>$Z$8='Assessment Details'!$Q$23</xm:f>
            <x14:dxf>
              <font>
                <color theme="0"/>
              </font>
              <fill>
                <patternFill>
                  <bgColor theme="0"/>
                </patternFill>
              </fill>
            </x14:dxf>
          </x14:cfRule>
          <xm:sqref>U256:Y256</xm:sqref>
        </x14:conditionalFormatting>
        <x14:conditionalFormatting xmlns:xm="http://schemas.microsoft.com/office/excel/2006/main">
          <x14:cfRule type="expression" priority="3904" id="{666DDFF4-B863-47FE-ABF9-E2EE77E7729D}">
            <xm:f>$Z$8='Assessment Details'!$Q$23</xm:f>
            <x14:dxf>
              <border>
                <left style="thin">
                  <color theme="0"/>
                </left>
                <right style="thin">
                  <color theme="0"/>
                </right>
                <top style="thin">
                  <color theme="0"/>
                </top>
                <bottom style="thin">
                  <color theme="0"/>
                </bottom>
                <vertical/>
                <horizontal/>
              </border>
            </x14:dxf>
          </x14:cfRule>
          <xm:sqref>U256:Y256</xm:sqref>
        </x14:conditionalFormatting>
        <x14:conditionalFormatting xmlns:xm="http://schemas.microsoft.com/office/excel/2006/main">
          <x14:cfRule type="expression" priority="2801" id="{80841CB3-12D6-444D-9765-69377C98ED5F}">
            <xm:f>$S$8='Assessment Details'!$Q$23</xm:f>
            <x14:dxf>
              <font>
                <color theme="0"/>
              </font>
              <fill>
                <patternFill>
                  <bgColor theme="0"/>
                </patternFill>
              </fill>
              <border>
                <vertical/>
                <horizontal/>
              </border>
            </x14:dxf>
          </x14:cfRule>
          <xm:sqref>Q121:R121</xm:sqref>
        </x14:conditionalFormatting>
        <x14:conditionalFormatting xmlns:xm="http://schemas.microsoft.com/office/excel/2006/main">
          <x14:cfRule type="expression" priority="2800" id="{D2A6FA7D-D45E-40B6-94FC-90EE7AF965AF}">
            <xm:f>$S$8='Assessment Details'!$Q$23</xm:f>
            <x14:dxf>
              <border>
                <left style="thin">
                  <color theme="0"/>
                </left>
                <right style="thin">
                  <color theme="0"/>
                </right>
                <top style="thin">
                  <color theme="0"/>
                </top>
                <bottom style="thin">
                  <color theme="0"/>
                </bottom>
                <vertical/>
                <horizontal/>
              </border>
            </x14:dxf>
          </x14:cfRule>
          <xm:sqref>Q121:R121</xm:sqref>
        </x14:conditionalFormatting>
        <x14:conditionalFormatting xmlns:xm="http://schemas.microsoft.com/office/excel/2006/main">
          <x14:cfRule type="expression" priority="3679" id="{E7CFFBBB-3569-40FC-B86F-169605FB321A}">
            <xm:f>$Z$8='Assessment Details'!$Q$23</xm:f>
            <x14:dxf>
              <font>
                <color theme="0"/>
              </font>
              <fill>
                <patternFill>
                  <bgColor theme="0"/>
                </patternFill>
              </fill>
            </x14:dxf>
          </x14:cfRule>
          <xm:sqref>X245:Y245</xm:sqref>
        </x14:conditionalFormatting>
        <x14:conditionalFormatting xmlns:xm="http://schemas.microsoft.com/office/excel/2006/main">
          <x14:cfRule type="expression" priority="3678" id="{8A0C0AF9-9023-4533-9251-9341D84C35AF}">
            <xm:f>$Z$8='Assessment Details'!$Q$23</xm:f>
            <x14:dxf>
              <border>
                <left style="thin">
                  <color theme="0"/>
                </left>
                <right style="thin">
                  <color theme="0"/>
                </right>
                <top style="thin">
                  <color theme="0"/>
                </top>
                <bottom style="thin">
                  <color theme="0"/>
                </bottom>
                <vertical/>
                <horizontal/>
              </border>
            </x14:dxf>
          </x14:cfRule>
          <xm:sqref>X245:Y245</xm:sqref>
        </x14:conditionalFormatting>
        <x14:conditionalFormatting xmlns:xm="http://schemas.microsoft.com/office/excel/2006/main">
          <x14:cfRule type="expression" priority="3672" id="{0DCA768C-2245-43CB-B02B-B6C8672CA3A2}">
            <xm:f>$S$8='Assessment Details'!$Q$23</xm:f>
            <x14:dxf>
              <font>
                <color theme="0"/>
              </font>
              <fill>
                <patternFill>
                  <bgColor theme="0"/>
                </patternFill>
              </fill>
              <border>
                <vertical/>
                <horizontal/>
              </border>
            </x14:dxf>
          </x14:cfRule>
          <xm:sqref>N245:R245</xm:sqref>
        </x14:conditionalFormatting>
        <x14:conditionalFormatting xmlns:xm="http://schemas.microsoft.com/office/excel/2006/main">
          <x14:cfRule type="expression" priority="3671" id="{7E49C1AA-37D9-4981-8ADB-7C269B2ECAE3}">
            <xm:f>$S$8='Assessment Details'!$Q$23</xm:f>
            <x14:dxf>
              <border>
                <left style="thin">
                  <color theme="0"/>
                </left>
                <right style="thin">
                  <color theme="0"/>
                </right>
                <top style="thin">
                  <color theme="0"/>
                </top>
                <bottom style="thin">
                  <color theme="0"/>
                </bottom>
                <vertical/>
                <horizontal/>
              </border>
            </x14:dxf>
          </x14:cfRule>
          <xm:sqref>N245:R245</xm:sqref>
        </x14:conditionalFormatting>
        <x14:conditionalFormatting xmlns:xm="http://schemas.microsoft.com/office/excel/2006/main">
          <x14:cfRule type="expression" priority="3670" id="{77D1E0B0-30DF-4C79-9789-3D9EF437F938}">
            <xm:f>$Z$8='Assessment Details'!$Q$23</xm:f>
            <x14:dxf>
              <font>
                <color theme="0"/>
              </font>
              <fill>
                <patternFill>
                  <bgColor theme="0"/>
                </patternFill>
              </fill>
            </x14:dxf>
          </x14:cfRule>
          <xm:sqref>U245:W245</xm:sqref>
        </x14:conditionalFormatting>
        <x14:conditionalFormatting xmlns:xm="http://schemas.microsoft.com/office/excel/2006/main">
          <x14:cfRule type="expression" priority="3669" id="{3612A464-E812-4286-B9F5-C19F3242B82C}">
            <xm:f>$Z$8='Assessment Details'!$Q$23</xm:f>
            <x14:dxf>
              <border>
                <left style="thin">
                  <color theme="0"/>
                </left>
                <right style="thin">
                  <color theme="0"/>
                </right>
                <top style="thin">
                  <color theme="0"/>
                </top>
                <bottom style="thin">
                  <color theme="0"/>
                </bottom>
                <vertical/>
                <horizontal/>
              </border>
            </x14:dxf>
          </x14:cfRule>
          <xm:sqref>U245:W245</xm:sqref>
        </x14:conditionalFormatting>
        <x14:conditionalFormatting xmlns:xm="http://schemas.microsoft.com/office/excel/2006/main">
          <x14:cfRule type="expression" priority="3667" id="{B4E5A23B-2AC0-4018-8372-E7EB8F6F5B77}">
            <xm:f>$F$246='Assessment Details'!$O$61</xm:f>
            <x14:dxf>
              <font>
                <color theme="0" tint="-0.14996795556505021"/>
              </font>
              <fill>
                <patternFill>
                  <bgColor theme="0" tint="-0.14996795556505021"/>
                </patternFill>
              </fill>
            </x14:dxf>
          </x14:cfRule>
          <xm:sqref>G246:L246 N246:S246 U246:Z246</xm:sqref>
        </x14:conditionalFormatting>
        <x14:conditionalFormatting xmlns:xm="http://schemas.microsoft.com/office/excel/2006/main">
          <x14:cfRule type="expression" priority="3625" id="{B2A039A1-D851-4728-8BCC-C7A2C4697CC8}">
            <xm:f>$S$8='Assessment Details'!$Q$23</xm:f>
            <x14:dxf>
              <font>
                <color theme="0"/>
              </font>
              <fill>
                <patternFill>
                  <bgColor theme="0"/>
                </patternFill>
              </fill>
              <border>
                <vertical/>
                <horizontal/>
              </border>
            </x14:dxf>
          </x14:cfRule>
          <xm:sqref>N16</xm:sqref>
        </x14:conditionalFormatting>
        <x14:conditionalFormatting xmlns:xm="http://schemas.microsoft.com/office/excel/2006/main">
          <x14:cfRule type="expression" priority="3624" id="{1D0E6FE4-8490-4A67-82D9-62018F5C6FBC}">
            <xm:f>$S$8='Assessment Details'!$Q$23</xm:f>
            <x14:dxf>
              <border>
                <left style="thin">
                  <color theme="0"/>
                </left>
                <right style="thin">
                  <color theme="0"/>
                </right>
                <top style="thin">
                  <color theme="0"/>
                </top>
                <bottom style="thin">
                  <color theme="0"/>
                </bottom>
                <vertical/>
                <horizontal/>
              </border>
            </x14:dxf>
          </x14:cfRule>
          <xm:sqref>N16</xm:sqref>
        </x14:conditionalFormatting>
        <x14:conditionalFormatting xmlns:xm="http://schemas.microsoft.com/office/excel/2006/main">
          <x14:cfRule type="expression" priority="3623" id="{A8F52E86-B17B-4813-BACC-90329C5333C7}">
            <xm:f>$Z$8='Assessment Details'!$Q$23</xm:f>
            <x14:dxf>
              <font>
                <color theme="0"/>
              </font>
              <fill>
                <patternFill>
                  <bgColor theme="0"/>
                </patternFill>
              </fill>
            </x14:dxf>
          </x14:cfRule>
          <xm:sqref>X16:Y16</xm:sqref>
        </x14:conditionalFormatting>
        <x14:conditionalFormatting xmlns:xm="http://schemas.microsoft.com/office/excel/2006/main">
          <x14:cfRule type="expression" priority="3622" id="{C924779E-9290-4A27-B28A-4C2853714569}">
            <xm:f>$Z$8='Assessment Details'!$Q$23</xm:f>
            <x14:dxf>
              <border>
                <left style="thin">
                  <color theme="0"/>
                </left>
                <right style="thin">
                  <color theme="0"/>
                </right>
                <top style="thin">
                  <color theme="0"/>
                </top>
                <bottom style="thin">
                  <color theme="0"/>
                </bottom>
                <vertical/>
                <horizontal/>
              </border>
            </x14:dxf>
          </x14:cfRule>
          <xm:sqref>X16:Y16</xm:sqref>
        </x14:conditionalFormatting>
        <x14:conditionalFormatting xmlns:xm="http://schemas.microsoft.com/office/excel/2006/main">
          <x14:cfRule type="expression" priority="3609" id="{0975EA98-A6B0-4FB4-89FD-ABC68E857A76}">
            <xm:f>$S$8='Assessment Details'!$Q$23</xm:f>
            <x14:dxf>
              <font>
                <color theme="0"/>
              </font>
              <fill>
                <patternFill>
                  <bgColor theme="0"/>
                </patternFill>
              </fill>
              <border>
                <vertical/>
                <horizontal/>
              </border>
            </x14:dxf>
          </x14:cfRule>
          <xm:sqref>N15</xm:sqref>
        </x14:conditionalFormatting>
        <x14:conditionalFormatting xmlns:xm="http://schemas.microsoft.com/office/excel/2006/main">
          <x14:cfRule type="expression" priority="3608" id="{51B0884B-F3B3-485D-A377-BA31E4BFC38C}">
            <xm:f>$S$8='Assessment Details'!$Q$23</xm:f>
            <x14:dxf>
              <border>
                <left style="thin">
                  <color theme="0"/>
                </left>
                <right style="thin">
                  <color theme="0"/>
                </right>
                <top style="thin">
                  <color theme="0"/>
                </top>
                <bottom style="thin">
                  <color theme="0"/>
                </bottom>
                <vertical/>
                <horizontal/>
              </border>
            </x14:dxf>
          </x14:cfRule>
          <xm:sqref>N15</xm:sqref>
        </x14:conditionalFormatting>
        <x14:conditionalFormatting xmlns:xm="http://schemas.microsoft.com/office/excel/2006/main">
          <x14:cfRule type="expression" priority="3593" id="{468AF6F7-56DB-4F16-8090-E324B4BC1CB5}">
            <xm:f>$S$8='Assessment Details'!$Q$23</xm:f>
            <x14:dxf>
              <font>
                <color theme="0"/>
              </font>
              <fill>
                <patternFill>
                  <bgColor theme="0"/>
                </patternFill>
              </fill>
              <border>
                <vertical/>
                <horizontal/>
              </border>
            </x14:dxf>
          </x14:cfRule>
          <xm:sqref>N14</xm:sqref>
        </x14:conditionalFormatting>
        <x14:conditionalFormatting xmlns:xm="http://schemas.microsoft.com/office/excel/2006/main">
          <x14:cfRule type="expression" priority="3592" id="{0ED21D60-7F57-40CB-AFB5-03C0E88A0C43}">
            <xm:f>$S$8='Assessment Details'!$Q$23</xm:f>
            <x14:dxf>
              <border>
                <left style="thin">
                  <color theme="0"/>
                </left>
                <right style="thin">
                  <color theme="0"/>
                </right>
                <top style="thin">
                  <color theme="0"/>
                </top>
                <bottom style="thin">
                  <color theme="0"/>
                </bottom>
                <vertical/>
                <horizontal/>
              </border>
            </x14:dxf>
          </x14:cfRule>
          <xm:sqref>N14</xm:sqref>
        </x14:conditionalFormatting>
        <x14:conditionalFormatting xmlns:xm="http://schemas.microsoft.com/office/excel/2006/main">
          <x14:cfRule type="expression" priority="3591" id="{0ABD4199-2B67-4DF4-BEA2-9B0700098AD8}">
            <xm:f>$Z$8='Assessment Details'!$Q$23</xm:f>
            <x14:dxf>
              <font>
                <color theme="0"/>
              </font>
              <fill>
                <patternFill>
                  <bgColor theme="0"/>
                </patternFill>
              </fill>
            </x14:dxf>
          </x14:cfRule>
          <xm:sqref>X14:Y14</xm:sqref>
        </x14:conditionalFormatting>
        <x14:conditionalFormatting xmlns:xm="http://schemas.microsoft.com/office/excel/2006/main">
          <x14:cfRule type="expression" priority="3590" id="{6E943F80-0B7D-4DD0-AF45-FF5E85C0374A}">
            <xm:f>$Z$8='Assessment Details'!$Q$23</xm:f>
            <x14:dxf>
              <border>
                <left style="thin">
                  <color theme="0"/>
                </left>
                <right style="thin">
                  <color theme="0"/>
                </right>
                <top style="thin">
                  <color theme="0"/>
                </top>
                <bottom style="thin">
                  <color theme="0"/>
                </bottom>
                <vertical/>
                <horizontal/>
              </border>
            </x14:dxf>
          </x14:cfRule>
          <xm:sqref>X14:Y14</xm:sqref>
        </x14:conditionalFormatting>
        <x14:conditionalFormatting xmlns:xm="http://schemas.microsoft.com/office/excel/2006/main">
          <x14:cfRule type="expression" priority="3577" id="{14597087-9990-434C-ABBB-77168106030A}">
            <xm:f>$S$8='Assessment Details'!$Q$23</xm:f>
            <x14:dxf>
              <font>
                <color theme="0"/>
              </font>
              <fill>
                <patternFill>
                  <bgColor theme="0"/>
                </patternFill>
              </fill>
              <border>
                <vertical/>
                <horizontal/>
              </border>
            </x14:dxf>
          </x14:cfRule>
          <xm:sqref>N13</xm:sqref>
        </x14:conditionalFormatting>
        <x14:conditionalFormatting xmlns:xm="http://schemas.microsoft.com/office/excel/2006/main">
          <x14:cfRule type="expression" priority="3576" id="{3F81F4DE-432F-45BF-B35D-477F2CEC5F77}">
            <xm:f>$S$8='Assessment Details'!$Q$23</xm:f>
            <x14:dxf>
              <border>
                <left style="thin">
                  <color theme="0"/>
                </left>
                <right style="thin">
                  <color theme="0"/>
                </right>
                <top style="thin">
                  <color theme="0"/>
                </top>
                <bottom style="thin">
                  <color theme="0"/>
                </bottom>
                <vertical/>
                <horizontal/>
              </border>
            </x14:dxf>
          </x14:cfRule>
          <xm:sqref>N13</xm:sqref>
        </x14:conditionalFormatting>
        <x14:conditionalFormatting xmlns:xm="http://schemas.microsoft.com/office/excel/2006/main">
          <x14:cfRule type="expression" priority="3575" id="{0691244B-CCBF-4F9B-B010-682E899A44C9}">
            <xm:f>$Z$8='Assessment Details'!$Q$23</xm:f>
            <x14:dxf>
              <font>
                <color theme="0"/>
              </font>
              <fill>
                <patternFill>
                  <bgColor theme="0"/>
                </patternFill>
              </fill>
            </x14:dxf>
          </x14:cfRule>
          <xm:sqref>X13:Y13</xm:sqref>
        </x14:conditionalFormatting>
        <x14:conditionalFormatting xmlns:xm="http://schemas.microsoft.com/office/excel/2006/main">
          <x14:cfRule type="expression" priority="3574" id="{49F6A36B-037D-4ED3-A4E3-CE2698BA69BB}">
            <xm:f>$Z$8='Assessment Details'!$Q$23</xm:f>
            <x14:dxf>
              <border>
                <left style="thin">
                  <color theme="0"/>
                </left>
                <right style="thin">
                  <color theme="0"/>
                </right>
                <top style="thin">
                  <color theme="0"/>
                </top>
                <bottom style="thin">
                  <color theme="0"/>
                </bottom>
                <vertical/>
                <horizontal/>
              </border>
            </x14:dxf>
          </x14:cfRule>
          <xm:sqref>X13:Y13</xm:sqref>
        </x14:conditionalFormatting>
        <x14:conditionalFormatting xmlns:xm="http://schemas.microsoft.com/office/excel/2006/main">
          <x14:cfRule type="expression" priority="3561" id="{EE1182E8-19AC-462C-9F32-CDAAC6DB7DB9}">
            <xm:f>$S$8='Assessment Details'!$Q$23</xm:f>
            <x14:dxf>
              <font>
                <color theme="0"/>
              </font>
              <fill>
                <patternFill>
                  <bgColor theme="0"/>
                </patternFill>
              </fill>
              <border>
                <vertical/>
                <horizontal/>
              </border>
            </x14:dxf>
          </x14:cfRule>
          <xm:sqref>N12</xm:sqref>
        </x14:conditionalFormatting>
        <x14:conditionalFormatting xmlns:xm="http://schemas.microsoft.com/office/excel/2006/main">
          <x14:cfRule type="expression" priority="3560" id="{FEEA52F8-97DF-4F8A-B310-885F91244739}">
            <xm:f>$S$8='Assessment Details'!$Q$23</xm:f>
            <x14:dxf>
              <border>
                <left style="thin">
                  <color theme="0"/>
                </left>
                <right style="thin">
                  <color theme="0"/>
                </right>
                <top style="thin">
                  <color theme="0"/>
                </top>
                <bottom style="thin">
                  <color theme="0"/>
                </bottom>
                <vertical/>
                <horizontal/>
              </border>
            </x14:dxf>
          </x14:cfRule>
          <xm:sqref>N12</xm:sqref>
        </x14:conditionalFormatting>
        <x14:conditionalFormatting xmlns:xm="http://schemas.microsoft.com/office/excel/2006/main">
          <x14:cfRule type="expression" priority="3559" id="{0500ED55-14FD-4D75-812A-4C6E977937E3}">
            <xm:f>$Z$8='Assessment Details'!$Q$23</xm:f>
            <x14:dxf>
              <font>
                <color theme="0"/>
              </font>
              <fill>
                <patternFill>
                  <bgColor theme="0"/>
                </patternFill>
              </fill>
            </x14:dxf>
          </x14:cfRule>
          <xm:sqref>X12:Y12</xm:sqref>
        </x14:conditionalFormatting>
        <x14:conditionalFormatting xmlns:xm="http://schemas.microsoft.com/office/excel/2006/main">
          <x14:cfRule type="expression" priority="3558" id="{02F69B67-FF1F-407F-A6A5-392A24E088D4}">
            <xm:f>$Z$8='Assessment Details'!$Q$23</xm:f>
            <x14:dxf>
              <border>
                <left style="thin">
                  <color theme="0"/>
                </left>
                <right style="thin">
                  <color theme="0"/>
                </right>
                <top style="thin">
                  <color theme="0"/>
                </top>
                <bottom style="thin">
                  <color theme="0"/>
                </bottom>
                <vertical/>
                <horizontal/>
              </border>
            </x14:dxf>
          </x14:cfRule>
          <xm:sqref>X12:Y12</xm:sqref>
        </x14:conditionalFormatting>
        <x14:conditionalFormatting xmlns:xm="http://schemas.microsoft.com/office/excel/2006/main">
          <x14:cfRule type="expression" priority="3545" id="{ED659AEB-C534-474D-BC9A-1F28BB6E03AC}">
            <xm:f>$S$8='Assessment Details'!$Q$23</xm:f>
            <x14:dxf>
              <font>
                <color theme="0"/>
              </font>
              <fill>
                <patternFill>
                  <bgColor theme="0"/>
                </patternFill>
              </fill>
              <border>
                <vertical/>
                <horizontal/>
              </border>
            </x14:dxf>
          </x14:cfRule>
          <xm:sqref>N21</xm:sqref>
        </x14:conditionalFormatting>
        <x14:conditionalFormatting xmlns:xm="http://schemas.microsoft.com/office/excel/2006/main">
          <x14:cfRule type="expression" priority="3544" id="{6B1AF7A8-920D-46C9-A14C-53B9EBB0B276}">
            <xm:f>$S$8='Assessment Details'!$Q$23</xm:f>
            <x14:dxf>
              <border>
                <left style="thin">
                  <color theme="0"/>
                </left>
                <right style="thin">
                  <color theme="0"/>
                </right>
                <top style="thin">
                  <color theme="0"/>
                </top>
                <bottom style="thin">
                  <color theme="0"/>
                </bottom>
                <vertical/>
                <horizontal/>
              </border>
            </x14:dxf>
          </x14:cfRule>
          <xm:sqref>N21</xm:sqref>
        </x14:conditionalFormatting>
        <x14:conditionalFormatting xmlns:xm="http://schemas.microsoft.com/office/excel/2006/main">
          <x14:cfRule type="expression" priority="3543" id="{4750F467-AF2B-4EE1-8D37-F8DDE10FF71D}">
            <xm:f>$Z$8='Assessment Details'!$Q$23</xm:f>
            <x14:dxf>
              <font>
                <color theme="0"/>
              </font>
              <fill>
                <patternFill>
                  <bgColor theme="0"/>
                </patternFill>
              </fill>
            </x14:dxf>
          </x14:cfRule>
          <xm:sqref>X21:Y21</xm:sqref>
        </x14:conditionalFormatting>
        <x14:conditionalFormatting xmlns:xm="http://schemas.microsoft.com/office/excel/2006/main">
          <x14:cfRule type="expression" priority="3542" id="{28B49DD8-0A54-4B53-81A1-7A75EC50BB3D}">
            <xm:f>$Z$8='Assessment Details'!$Q$23</xm:f>
            <x14:dxf>
              <border>
                <left style="thin">
                  <color theme="0"/>
                </left>
                <right style="thin">
                  <color theme="0"/>
                </right>
                <top style="thin">
                  <color theme="0"/>
                </top>
                <bottom style="thin">
                  <color theme="0"/>
                </bottom>
                <vertical/>
                <horizontal/>
              </border>
            </x14:dxf>
          </x14:cfRule>
          <xm:sqref>X21:Y21</xm:sqref>
        </x14:conditionalFormatting>
        <x14:conditionalFormatting xmlns:xm="http://schemas.microsoft.com/office/excel/2006/main">
          <x14:cfRule type="expression" priority="3529" id="{EBFD9CF1-A8AE-40AE-869A-C533AAA0878A}">
            <xm:f>$S$8='Assessment Details'!$Q$23</xm:f>
            <x14:dxf>
              <font>
                <color theme="0"/>
              </font>
              <fill>
                <patternFill>
                  <bgColor theme="0"/>
                </patternFill>
              </fill>
              <border>
                <vertical/>
                <horizontal/>
              </border>
            </x14:dxf>
          </x14:cfRule>
          <xm:sqref>N22</xm:sqref>
        </x14:conditionalFormatting>
        <x14:conditionalFormatting xmlns:xm="http://schemas.microsoft.com/office/excel/2006/main">
          <x14:cfRule type="expression" priority="3528" id="{D369C0D1-0C55-4FD5-802F-67A9FF741933}">
            <xm:f>$S$8='Assessment Details'!$Q$23</xm:f>
            <x14:dxf>
              <border>
                <left style="thin">
                  <color theme="0"/>
                </left>
                <right style="thin">
                  <color theme="0"/>
                </right>
                <top style="thin">
                  <color theme="0"/>
                </top>
                <bottom style="thin">
                  <color theme="0"/>
                </bottom>
                <vertical/>
                <horizontal/>
              </border>
            </x14:dxf>
          </x14:cfRule>
          <xm:sqref>N22</xm:sqref>
        </x14:conditionalFormatting>
        <x14:conditionalFormatting xmlns:xm="http://schemas.microsoft.com/office/excel/2006/main">
          <x14:cfRule type="expression" priority="3527" id="{E510AEC0-4C08-437C-81A1-F63E45E9612F}">
            <xm:f>$Z$8='Assessment Details'!$Q$23</xm:f>
            <x14:dxf>
              <font>
                <color theme="0"/>
              </font>
              <fill>
                <patternFill>
                  <bgColor theme="0"/>
                </patternFill>
              </fill>
            </x14:dxf>
          </x14:cfRule>
          <xm:sqref>X22:Y22</xm:sqref>
        </x14:conditionalFormatting>
        <x14:conditionalFormatting xmlns:xm="http://schemas.microsoft.com/office/excel/2006/main">
          <x14:cfRule type="expression" priority="3526" id="{D6CA72C4-0E17-486E-B4D6-79593A15E384}">
            <xm:f>$Z$8='Assessment Details'!$Q$23</xm:f>
            <x14:dxf>
              <border>
                <left style="thin">
                  <color theme="0"/>
                </left>
                <right style="thin">
                  <color theme="0"/>
                </right>
                <top style="thin">
                  <color theme="0"/>
                </top>
                <bottom style="thin">
                  <color theme="0"/>
                </bottom>
                <vertical/>
                <horizontal/>
              </border>
            </x14:dxf>
          </x14:cfRule>
          <xm:sqref>X22:Y22</xm:sqref>
        </x14:conditionalFormatting>
        <x14:conditionalFormatting xmlns:xm="http://schemas.microsoft.com/office/excel/2006/main">
          <x14:cfRule type="expression" priority="3513" id="{30CFD794-A9D0-4919-8423-A687917A2B42}">
            <xm:f>$S$8='Assessment Details'!$Q$23</xm:f>
            <x14:dxf>
              <font>
                <color theme="0"/>
              </font>
              <fill>
                <patternFill>
                  <bgColor theme="0"/>
                </patternFill>
              </fill>
              <border>
                <vertical/>
                <horizontal/>
              </border>
            </x14:dxf>
          </x14:cfRule>
          <xm:sqref>N23</xm:sqref>
        </x14:conditionalFormatting>
        <x14:conditionalFormatting xmlns:xm="http://schemas.microsoft.com/office/excel/2006/main">
          <x14:cfRule type="expression" priority="3512" id="{B46BFA8D-A9DA-4239-8CDD-89052E852517}">
            <xm:f>$S$8='Assessment Details'!$Q$23</xm:f>
            <x14:dxf>
              <border>
                <left style="thin">
                  <color theme="0"/>
                </left>
                <right style="thin">
                  <color theme="0"/>
                </right>
                <top style="thin">
                  <color theme="0"/>
                </top>
                <bottom style="thin">
                  <color theme="0"/>
                </bottom>
                <vertical/>
                <horizontal/>
              </border>
            </x14:dxf>
          </x14:cfRule>
          <xm:sqref>N23</xm:sqref>
        </x14:conditionalFormatting>
        <x14:conditionalFormatting xmlns:xm="http://schemas.microsoft.com/office/excel/2006/main">
          <x14:cfRule type="expression" priority="3511" id="{289670E2-FB01-44CB-AE51-853232CF8DF5}">
            <xm:f>$Z$8='Assessment Details'!$Q$23</xm:f>
            <x14:dxf>
              <font>
                <color theme="0"/>
              </font>
              <fill>
                <patternFill>
                  <bgColor theme="0"/>
                </patternFill>
              </fill>
            </x14:dxf>
          </x14:cfRule>
          <xm:sqref>X23:Y23</xm:sqref>
        </x14:conditionalFormatting>
        <x14:conditionalFormatting xmlns:xm="http://schemas.microsoft.com/office/excel/2006/main">
          <x14:cfRule type="expression" priority="3510" id="{EC73C7D2-DB83-4C5E-82C8-E40AF24836A7}">
            <xm:f>$Z$8='Assessment Details'!$Q$23</xm:f>
            <x14:dxf>
              <border>
                <left style="thin">
                  <color theme="0"/>
                </left>
                <right style="thin">
                  <color theme="0"/>
                </right>
                <top style="thin">
                  <color theme="0"/>
                </top>
                <bottom style="thin">
                  <color theme="0"/>
                </bottom>
                <vertical/>
                <horizontal/>
              </border>
            </x14:dxf>
          </x14:cfRule>
          <xm:sqref>X23:Y23</xm:sqref>
        </x14:conditionalFormatting>
        <x14:conditionalFormatting xmlns:xm="http://schemas.microsoft.com/office/excel/2006/main">
          <x14:cfRule type="expression" priority="3497" id="{5739EE40-DC4D-4F29-811B-29CD63AB73ED}">
            <xm:f>$S$8='Assessment Details'!$Q$23</xm:f>
            <x14:dxf>
              <font>
                <color theme="0"/>
              </font>
              <fill>
                <patternFill>
                  <bgColor theme="0"/>
                </patternFill>
              </fill>
              <border>
                <vertical/>
                <horizontal/>
              </border>
            </x14:dxf>
          </x14:cfRule>
          <xm:sqref>N24</xm:sqref>
        </x14:conditionalFormatting>
        <x14:conditionalFormatting xmlns:xm="http://schemas.microsoft.com/office/excel/2006/main">
          <x14:cfRule type="expression" priority="3496" id="{59AEA59F-EAFF-47AE-B1EB-2753249AF74D}">
            <xm:f>$S$8='Assessment Details'!$Q$23</xm:f>
            <x14:dxf>
              <border>
                <left style="thin">
                  <color theme="0"/>
                </left>
                <right style="thin">
                  <color theme="0"/>
                </right>
                <top style="thin">
                  <color theme="0"/>
                </top>
                <bottom style="thin">
                  <color theme="0"/>
                </bottom>
                <vertical/>
                <horizontal/>
              </border>
            </x14:dxf>
          </x14:cfRule>
          <xm:sqref>N24</xm:sqref>
        </x14:conditionalFormatting>
        <x14:conditionalFormatting xmlns:xm="http://schemas.microsoft.com/office/excel/2006/main">
          <x14:cfRule type="expression" priority="3495" id="{D0BA127D-AF9A-4A10-B700-936AFCA8D241}">
            <xm:f>$Z$8='Assessment Details'!$Q$23</xm:f>
            <x14:dxf>
              <font>
                <color theme="0"/>
              </font>
              <fill>
                <patternFill>
                  <bgColor theme="0"/>
                </patternFill>
              </fill>
            </x14:dxf>
          </x14:cfRule>
          <xm:sqref>X24:Y24</xm:sqref>
        </x14:conditionalFormatting>
        <x14:conditionalFormatting xmlns:xm="http://schemas.microsoft.com/office/excel/2006/main">
          <x14:cfRule type="expression" priority="3494" id="{6E44C845-F000-41B3-A695-00FFD6DEAA00}">
            <xm:f>$Z$8='Assessment Details'!$Q$23</xm:f>
            <x14:dxf>
              <border>
                <left style="thin">
                  <color theme="0"/>
                </left>
                <right style="thin">
                  <color theme="0"/>
                </right>
                <top style="thin">
                  <color theme="0"/>
                </top>
                <bottom style="thin">
                  <color theme="0"/>
                </bottom>
                <vertical/>
                <horizontal/>
              </border>
            </x14:dxf>
          </x14:cfRule>
          <xm:sqref>X24:Y24</xm:sqref>
        </x14:conditionalFormatting>
        <x14:conditionalFormatting xmlns:xm="http://schemas.microsoft.com/office/excel/2006/main">
          <x14:cfRule type="expression" priority="3481" id="{62720286-3142-45D6-B0CC-B2A9ABEB7FB2}">
            <xm:f>$S$8='Assessment Details'!$Q$23</xm:f>
            <x14:dxf>
              <font>
                <color theme="0"/>
              </font>
              <fill>
                <patternFill>
                  <bgColor theme="0"/>
                </patternFill>
              </fill>
              <border>
                <vertical/>
                <horizontal/>
              </border>
            </x14:dxf>
          </x14:cfRule>
          <xm:sqref>N28</xm:sqref>
        </x14:conditionalFormatting>
        <x14:conditionalFormatting xmlns:xm="http://schemas.microsoft.com/office/excel/2006/main">
          <x14:cfRule type="expression" priority="3480" id="{7D5AD448-4A98-4EFA-9537-3661F1DC69EF}">
            <xm:f>$S$8='Assessment Details'!$Q$23</xm:f>
            <x14:dxf>
              <border>
                <left style="thin">
                  <color theme="0"/>
                </left>
                <right style="thin">
                  <color theme="0"/>
                </right>
                <top style="thin">
                  <color theme="0"/>
                </top>
                <bottom style="thin">
                  <color theme="0"/>
                </bottom>
                <vertical/>
                <horizontal/>
              </border>
            </x14:dxf>
          </x14:cfRule>
          <xm:sqref>N28</xm:sqref>
        </x14:conditionalFormatting>
        <x14:conditionalFormatting xmlns:xm="http://schemas.microsoft.com/office/excel/2006/main">
          <x14:cfRule type="expression" priority="3479" id="{15868158-DE56-48A3-90CB-5E08F276B121}">
            <xm:f>$Z$8='Assessment Details'!$Q$23</xm:f>
            <x14:dxf>
              <font>
                <color theme="0"/>
              </font>
              <fill>
                <patternFill>
                  <bgColor theme="0"/>
                </patternFill>
              </fill>
            </x14:dxf>
          </x14:cfRule>
          <xm:sqref>X28:Y28</xm:sqref>
        </x14:conditionalFormatting>
        <x14:conditionalFormatting xmlns:xm="http://schemas.microsoft.com/office/excel/2006/main">
          <x14:cfRule type="expression" priority="3478" id="{95F84CDB-5690-43C7-92E5-5F0633A74D0A}">
            <xm:f>$Z$8='Assessment Details'!$Q$23</xm:f>
            <x14:dxf>
              <border>
                <left style="thin">
                  <color theme="0"/>
                </left>
                <right style="thin">
                  <color theme="0"/>
                </right>
                <top style="thin">
                  <color theme="0"/>
                </top>
                <bottom style="thin">
                  <color theme="0"/>
                </bottom>
                <vertical/>
                <horizontal/>
              </border>
            </x14:dxf>
          </x14:cfRule>
          <xm:sqref>X28:Y28</xm:sqref>
        </x14:conditionalFormatting>
        <x14:conditionalFormatting xmlns:xm="http://schemas.microsoft.com/office/excel/2006/main">
          <x14:cfRule type="expression" priority="3465" id="{AF5D9744-D435-4F7E-8BD2-7822D78E86B5}">
            <xm:f>$S$8='Assessment Details'!$Q$23</xm:f>
            <x14:dxf>
              <font>
                <color theme="0"/>
              </font>
              <fill>
                <patternFill>
                  <bgColor theme="0"/>
                </patternFill>
              </fill>
              <border>
                <vertical/>
                <horizontal/>
              </border>
            </x14:dxf>
          </x14:cfRule>
          <xm:sqref>N29</xm:sqref>
        </x14:conditionalFormatting>
        <x14:conditionalFormatting xmlns:xm="http://schemas.microsoft.com/office/excel/2006/main">
          <x14:cfRule type="expression" priority="3464" id="{BFC76992-1E49-46CC-9E29-C20E1386BD8F}">
            <xm:f>$S$8='Assessment Details'!$Q$23</xm:f>
            <x14:dxf>
              <border>
                <left style="thin">
                  <color theme="0"/>
                </left>
                <right style="thin">
                  <color theme="0"/>
                </right>
                <top style="thin">
                  <color theme="0"/>
                </top>
                <bottom style="thin">
                  <color theme="0"/>
                </bottom>
                <vertical/>
                <horizontal/>
              </border>
            </x14:dxf>
          </x14:cfRule>
          <xm:sqref>N29</xm:sqref>
        </x14:conditionalFormatting>
        <x14:conditionalFormatting xmlns:xm="http://schemas.microsoft.com/office/excel/2006/main">
          <x14:cfRule type="expression" priority="3463" id="{06AA824E-1639-46EF-A738-822BED2062DE}">
            <xm:f>$Z$8='Assessment Details'!$Q$23</xm:f>
            <x14:dxf>
              <font>
                <color theme="0"/>
              </font>
              <fill>
                <patternFill>
                  <bgColor theme="0"/>
                </patternFill>
              </fill>
            </x14:dxf>
          </x14:cfRule>
          <xm:sqref>X29:Y29</xm:sqref>
        </x14:conditionalFormatting>
        <x14:conditionalFormatting xmlns:xm="http://schemas.microsoft.com/office/excel/2006/main">
          <x14:cfRule type="expression" priority="3462" id="{091C4537-0981-45A2-903A-D06358AB1324}">
            <xm:f>$Z$8='Assessment Details'!$Q$23</xm:f>
            <x14:dxf>
              <border>
                <left style="thin">
                  <color theme="0"/>
                </left>
                <right style="thin">
                  <color theme="0"/>
                </right>
                <top style="thin">
                  <color theme="0"/>
                </top>
                <bottom style="thin">
                  <color theme="0"/>
                </bottom>
                <vertical/>
                <horizontal/>
              </border>
            </x14:dxf>
          </x14:cfRule>
          <xm:sqref>X29:Y29</xm:sqref>
        </x14:conditionalFormatting>
        <x14:conditionalFormatting xmlns:xm="http://schemas.microsoft.com/office/excel/2006/main">
          <x14:cfRule type="expression" priority="3449" id="{9E69F7EB-8E3F-40ED-B49A-5F2566E23221}">
            <xm:f>$S$8='Assessment Details'!$Q$23</xm:f>
            <x14:dxf>
              <font>
                <color theme="0"/>
              </font>
              <fill>
                <patternFill>
                  <bgColor theme="0"/>
                </patternFill>
              </fill>
              <border>
                <vertical/>
                <horizontal/>
              </border>
            </x14:dxf>
          </x14:cfRule>
          <xm:sqref>N30</xm:sqref>
        </x14:conditionalFormatting>
        <x14:conditionalFormatting xmlns:xm="http://schemas.microsoft.com/office/excel/2006/main">
          <x14:cfRule type="expression" priority="3448" id="{918BB4E2-D352-49A3-9681-A831A9DDE801}">
            <xm:f>$S$8='Assessment Details'!$Q$23</xm:f>
            <x14:dxf>
              <border>
                <left style="thin">
                  <color theme="0"/>
                </left>
                <right style="thin">
                  <color theme="0"/>
                </right>
                <top style="thin">
                  <color theme="0"/>
                </top>
                <bottom style="thin">
                  <color theme="0"/>
                </bottom>
                <vertical/>
                <horizontal/>
              </border>
            </x14:dxf>
          </x14:cfRule>
          <xm:sqref>N30</xm:sqref>
        </x14:conditionalFormatting>
        <x14:conditionalFormatting xmlns:xm="http://schemas.microsoft.com/office/excel/2006/main">
          <x14:cfRule type="expression" priority="3447" id="{017C0CD2-BFC7-4472-8A84-D25E983FAB4B}">
            <xm:f>$Z$8='Assessment Details'!$Q$23</xm:f>
            <x14:dxf>
              <font>
                <color theme="0"/>
              </font>
              <fill>
                <patternFill>
                  <bgColor theme="0"/>
                </patternFill>
              </fill>
            </x14:dxf>
          </x14:cfRule>
          <xm:sqref>X30:Y30</xm:sqref>
        </x14:conditionalFormatting>
        <x14:conditionalFormatting xmlns:xm="http://schemas.microsoft.com/office/excel/2006/main">
          <x14:cfRule type="expression" priority="3446" id="{82777833-394D-43A7-8038-B6DA34939F99}">
            <xm:f>$Z$8='Assessment Details'!$Q$23</xm:f>
            <x14:dxf>
              <border>
                <left style="thin">
                  <color theme="0"/>
                </left>
                <right style="thin">
                  <color theme="0"/>
                </right>
                <top style="thin">
                  <color theme="0"/>
                </top>
                <bottom style="thin">
                  <color theme="0"/>
                </bottom>
                <vertical/>
                <horizontal/>
              </border>
            </x14:dxf>
          </x14:cfRule>
          <xm:sqref>X30:Y30</xm:sqref>
        </x14:conditionalFormatting>
        <x14:conditionalFormatting xmlns:xm="http://schemas.microsoft.com/office/excel/2006/main">
          <x14:cfRule type="expression" priority="3433" id="{460E784F-64CF-4F2E-8193-3E2EC1124A08}">
            <xm:f>$S$8='Assessment Details'!$Q$23</xm:f>
            <x14:dxf>
              <font>
                <color theme="0"/>
              </font>
              <fill>
                <patternFill>
                  <bgColor theme="0"/>
                </patternFill>
              </fill>
              <border>
                <vertical/>
                <horizontal/>
              </border>
            </x14:dxf>
          </x14:cfRule>
          <xm:sqref>N32</xm:sqref>
        </x14:conditionalFormatting>
        <x14:conditionalFormatting xmlns:xm="http://schemas.microsoft.com/office/excel/2006/main">
          <x14:cfRule type="expression" priority="3432" id="{49600BB0-26E2-444B-B954-BA0D92B8D3FE}">
            <xm:f>$S$8='Assessment Details'!$Q$23</xm:f>
            <x14:dxf>
              <border>
                <left style="thin">
                  <color theme="0"/>
                </left>
                <right style="thin">
                  <color theme="0"/>
                </right>
                <top style="thin">
                  <color theme="0"/>
                </top>
                <bottom style="thin">
                  <color theme="0"/>
                </bottom>
                <vertical/>
                <horizontal/>
              </border>
            </x14:dxf>
          </x14:cfRule>
          <xm:sqref>N32</xm:sqref>
        </x14:conditionalFormatting>
        <x14:conditionalFormatting xmlns:xm="http://schemas.microsoft.com/office/excel/2006/main">
          <x14:cfRule type="expression" priority="3431" id="{D6870EA8-63F5-49CE-9555-4B125AD932FE}">
            <xm:f>$Z$8='Assessment Details'!$Q$23</xm:f>
            <x14:dxf>
              <font>
                <color theme="0"/>
              </font>
              <fill>
                <patternFill>
                  <bgColor theme="0"/>
                </patternFill>
              </fill>
            </x14:dxf>
          </x14:cfRule>
          <xm:sqref>X32:Y32</xm:sqref>
        </x14:conditionalFormatting>
        <x14:conditionalFormatting xmlns:xm="http://schemas.microsoft.com/office/excel/2006/main">
          <x14:cfRule type="expression" priority="3430" id="{E08A0F6E-3965-43E6-92E6-1D2AB84C93CB}">
            <xm:f>$Z$8='Assessment Details'!$Q$23</xm:f>
            <x14:dxf>
              <border>
                <left style="thin">
                  <color theme="0"/>
                </left>
                <right style="thin">
                  <color theme="0"/>
                </right>
                <top style="thin">
                  <color theme="0"/>
                </top>
                <bottom style="thin">
                  <color theme="0"/>
                </bottom>
                <vertical/>
                <horizontal/>
              </border>
            </x14:dxf>
          </x14:cfRule>
          <xm:sqref>X32:Y32</xm:sqref>
        </x14:conditionalFormatting>
        <x14:conditionalFormatting xmlns:xm="http://schemas.microsoft.com/office/excel/2006/main">
          <x14:cfRule type="expression" priority="3417" id="{38F425FC-94CD-4BB9-A180-E504232063FB}">
            <xm:f>$S$8='Assessment Details'!$Q$23</xm:f>
            <x14:dxf>
              <font>
                <color theme="0"/>
              </font>
              <fill>
                <patternFill>
                  <bgColor theme="0"/>
                </patternFill>
              </fill>
              <border>
                <vertical/>
                <horizontal/>
              </border>
            </x14:dxf>
          </x14:cfRule>
          <xm:sqref>N33</xm:sqref>
        </x14:conditionalFormatting>
        <x14:conditionalFormatting xmlns:xm="http://schemas.microsoft.com/office/excel/2006/main">
          <x14:cfRule type="expression" priority="3416" id="{6BFF1090-B4A7-4D7A-9B52-3C465FDBE6D1}">
            <xm:f>$S$8='Assessment Details'!$Q$23</xm:f>
            <x14:dxf>
              <border>
                <left style="thin">
                  <color theme="0"/>
                </left>
                <right style="thin">
                  <color theme="0"/>
                </right>
                <top style="thin">
                  <color theme="0"/>
                </top>
                <bottom style="thin">
                  <color theme="0"/>
                </bottom>
                <vertical/>
                <horizontal/>
              </border>
            </x14:dxf>
          </x14:cfRule>
          <xm:sqref>N33</xm:sqref>
        </x14:conditionalFormatting>
        <x14:conditionalFormatting xmlns:xm="http://schemas.microsoft.com/office/excel/2006/main">
          <x14:cfRule type="expression" priority="3415" id="{10F91EB4-3D6B-406D-A53C-9868780B78BF}">
            <xm:f>$Z$8='Assessment Details'!$Q$23</xm:f>
            <x14:dxf>
              <font>
                <color theme="0"/>
              </font>
              <fill>
                <patternFill>
                  <bgColor theme="0"/>
                </patternFill>
              </fill>
            </x14:dxf>
          </x14:cfRule>
          <xm:sqref>X33:Y33</xm:sqref>
        </x14:conditionalFormatting>
        <x14:conditionalFormatting xmlns:xm="http://schemas.microsoft.com/office/excel/2006/main">
          <x14:cfRule type="expression" priority="3414" id="{D97093BF-466C-4308-85C2-FDB1D1296701}">
            <xm:f>$Z$8='Assessment Details'!$Q$23</xm:f>
            <x14:dxf>
              <border>
                <left style="thin">
                  <color theme="0"/>
                </left>
                <right style="thin">
                  <color theme="0"/>
                </right>
                <top style="thin">
                  <color theme="0"/>
                </top>
                <bottom style="thin">
                  <color theme="0"/>
                </bottom>
                <vertical/>
                <horizontal/>
              </border>
            </x14:dxf>
          </x14:cfRule>
          <xm:sqref>X33:Y33</xm:sqref>
        </x14:conditionalFormatting>
        <x14:conditionalFormatting xmlns:xm="http://schemas.microsoft.com/office/excel/2006/main">
          <x14:cfRule type="expression" priority="3401" id="{9D40A64A-1A5D-47C4-85D0-414185D1DDD7}">
            <xm:f>$S$8='Assessment Details'!$Q$23</xm:f>
            <x14:dxf>
              <font>
                <color theme="0"/>
              </font>
              <fill>
                <patternFill>
                  <bgColor theme="0"/>
                </patternFill>
              </fill>
              <border>
                <vertical/>
                <horizontal/>
              </border>
            </x14:dxf>
          </x14:cfRule>
          <xm:sqref>N34</xm:sqref>
        </x14:conditionalFormatting>
        <x14:conditionalFormatting xmlns:xm="http://schemas.microsoft.com/office/excel/2006/main">
          <x14:cfRule type="expression" priority="3400" id="{17F35FEC-BD80-4030-8F69-22539DD26437}">
            <xm:f>$S$8='Assessment Details'!$Q$23</xm:f>
            <x14:dxf>
              <border>
                <left style="thin">
                  <color theme="0"/>
                </left>
                <right style="thin">
                  <color theme="0"/>
                </right>
                <top style="thin">
                  <color theme="0"/>
                </top>
                <bottom style="thin">
                  <color theme="0"/>
                </bottom>
                <vertical/>
                <horizontal/>
              </border>
            </x14:dxf>
          </x14:cfRule>
          <xm:sqref>N34</xm:sqref>
        </x14:conditionalFormatting>
        <x14:conditionalFormatting xmlns:xm="http://schemas.microsoft.com/office/excel/2006/main">
          <x14:cfRule type="expression" priority="3399" id="{56402DFA-9922-456D-8512-574F77753863}">
            <xm:f>$Z$8='Assessment Details'!$Q$23</xm:f>
            <x14:dxf>
              <font>
                <color theme="0"/>
              </font>
              <fill>
                <patternFill>
                  <bgColor theme="0"/>
                </patternFill>
              </fill>
            </x14:dxf>
          </x14:cfRule>
          <xm:sqref>X34:Y34</xm:sqref>
        </x14:conditionalFormatting>
        <x14:conditionalFormatting xmlns:xm="http://schemas.microsoft.com/office/excel/2006/main">
          <x14:cfRule type="expression" priority="3398" id="{652B0D8E-CAF5-420E-879E-68C784E00640}">
            <xm:f>$Z$8='Assessment Details'!$Q$23</xm:f>
            <x14:dxf>
              <border>
                <left style="thin">
                  <color theme="0"/>
                </left>
                <right style="thin">
                  <color theme="0"/>
                </right>
                <top style="thin">
                  <color theme="0"/>
                </top>
                <bottom style="thin">
                  <color theme="0"/>
                </bottom>
                <vertical/>
                <horizontal/>
              </border>
            </x14:dxf>
          </x14:cfRule>
          <xm:sqref>X34:Y34</xm:sqref>
        </x14:conditionalFormatting>
        <x14:conditionalFormatting xmlns:xm="http://schemas.microsoft.com/office/excel/2006/main">
          <x14:cfRule type="expression" priority="3330" id="{A51A9EE3-A346-4A7D-9CC4-6F74F48CB346}">
            <xm:f>$Z$8='Assessment Details'!$Q$23</xm:f>
            <x14:dxf>
              <font>
                <color theme="0"/>
              </font>
              <fill>
                <patternFill>
                  <bgColor theme="0"/>
                </patternFill>
              </fill>
            </x14:dxf>
          </x14:cfRule>
          <xm:sqref>U12:U14</xm:sqref>
        </x14:conditionalFormatting>
        <x14:conditionalFormatting xmlns:xm="http://schemas.microsoft.com/office/excel/2006/main">
          <x14:cfRule type="expression" priority="3329" id="{13859A7A-761F-40DE-93AE-0C3FE6143BC4}">
            <xm:f>$Z$8='Assessment Details'!$Q$23</xm:f>
            <x14:dxf>
              <border>
                <left style="thin">
                  <color theme="0"/>
                </left>
                <right style="thin">
                  <color theme="0"/>
                </right>
                <top style="thin">
                  <color theme="0"/>
                </top>
                <bottom style="thin">
                  <color theme="0"/>
                </bottom>
                <vertical/>
                <horizontal/>
              </border>
            </x14:dxf>
          </x14:cfRule>
          <xm:sqref>U12:U14</xm:sqref>
        </x14:conditionalFormatting>
        <x14:conditionalFormatting xmlns:xm="http://schemas.microsoft.com/office/excel/2006/main">
          <x14:cfRule type="expression" priority="3326" id="{9CCA7761-7168-4980-BCB9-AD04377C62A6}">
            <xm:f>$Z$8='Assessment Details'!$Q$23</xm:f>
            <x14:dxf>
              <font>
                <color theme="0"/>
              </font>
              <fill>
                <patternFill>
                  <bgColor theme="0"/>
                </patternFill>
              </fill>
            </x14:dxf>
          </x14:cfRule>
          <xm:sqref>U16</xm:sqref>
        </x14:conditionalFormatting>
        <x14:conditionalFormatting xmlns:xm="http://schemas.microsoft.com/office/excel/2006/main">
          <x14:cfRule type="expression" priority="3325" id="{B1D1F7DB-2F4A-4616-83B0-5513D932E48E}">
            <xm:f>$Z$8='Assessment Details'!$Q$23</xm:f>
            <x14:dxf>
              <border>
                <left style="thin">
                  <color theme="0"/>
                </left>
                <right style="thin">
                  <color theme="0"/>
                </right>
                <top style="thin">
                  <color theme="0"/>
                </top>
                <bottom style="thin">
                  <color theme="0"/>
                </bottom>
                <vertical/>
                <horizontal/>
              </border>
            </x14:dxf>
          </x14:cfRule>
          <xm:sqref>U16</xm:sqref>
        </x14:conditionalFormatting>
        <x14:conditionalFormatting xmlns:xm="http://schemas.microsoft.com/office/excel/2006/main">
          <x14:cfRule type="expression" priority="3322" id="{B0A2CEFF-3203-4EFC-97E6-4FD644D6FD19}">
            <xm:f>$Z$8='Assessment Details'!$Q$23</xm:f>
            <x14:dxf>
              <font>
                <color theme="0"/>
              </font>
              <fill>
                <patternFill>
                  <bgColor theme="0"/>
                </patternFill>
              </fill>
            </x14:dxf>
          </x14:cfRule>
          <xm:sqref>U18:U19</xm:sqref>
        </x14:conditionalFormatting>
        <x14:conditionalFormatting xmlns:xm="http://schemas.microsoft.com/office/excel/2006/main">
          <x14:cfRule type="expression" priority="3321" id="{ADE3DB88-2496-4BE7-BDC3-B98ACF16BED3}">
            <xm:f>$Z$8='Assessment Details'!$Q$23</xm:f>
            <x14:dxf>
              <border>
                <left style="thin">
                  <color theme="0"/>
                </left>
                <right style="thin">
                  <color theme="0"/>
                </right>
                <top style="thin">
                  <color theme="0"/>
                </top>
                <bottom style="thin">
                  <color theme="0"/>
                </bottom>
                <vertical/>
                <horizontal/>
              </border>
            </x14:dxf>
          </x14:cfRule>
          <xm:sqref>U18:U19</xm:sqref>
        </x14:conditionalFormatting>
        <x14:conditionalFormatting xmlns:xm="http://schemas.microsoft.com/office/excel/2006/main">
          <x14:cfRule type="expression" priority="3318" id="{7E6D2CFE-5AF3-4ACA-B0B1-DADF3C9267AB}">
            <xm:f>$Z$8='Assessment Details'!$Q$23</xm:f>
            <x14:dxf>
              <font>
                <color theme="0"/>
              </font>
              <fill>
                <patternFill>
                  <bgColor theme="0"/>
                </patternFill>
              </fill>
            </x14:dxf>
          </x14:cfRule>
          <xm:sqref>U21:U24</xm:sqref>
        </x14:conditionalFormatting>
        <x14:conditionalFormatting xmlns:xm="http://schemas.microsoft.com/office/excel/2006/main">
          <x14:cfRule type="expression" priority="3317" id="{CF39A711-10F3-41D6-B598-205336331052}">
            <xm:f>$Z$8='Assessment Details'!$Q$23</xm:f>
            <x14:dxf>
              <border>
                <left style="thin">
                  <color theme="0"/>
                </left>
                <right style="thin">
                  <color theme="0"/>
                </right>
                <top style="thin">
                  <color theme="0"/>
                </top>
                <bottom style="thin">
                  <color theme="0"/>
                </bottom>
                <vertical/>
                <horizontal/>
              </border>
            </x14:dxf>
          </x14:cfRule>
          <xm:sqref>U21:U24</xm:sqref>
        </x14:conditionalFormatting>
        <x14:conditionalFormatting xmlns:xm="http://schemas.microsoft.com/office/excel/2006/main">
          <x14:cfRule type="expression" priority="3314" id="{4DC1D019-7687-4557-AA3C-2EAB0E799B24}">
            <xm:f>$Z$8='Assessment Details'!$Q$23</xm:f>
            <x14:dxf>
              <font>
                <color theme="0"/>
              </font>
              <fill>
                <patternFill>
                  <bgColor theme="0"/>
                </patternFill>
              </fill>
            </x14:dxf>
          </x14:cfRule>
          <xm:sqref>U28:U30</xm:sqref>
        </x14:conditionalFormatting>
        <x14:conditionalFormatting xmlns:xm="http://schemas.microsoft.com/office/excel/2006/main">
          <x14:cfRule type="expression" priority="3313" id="{C3B9F756-BA02-4BE4-A786-0959C2B9093C}">
            <xm:f>$Z$8='Assessment Details'!$Q$23</xm:f>
            <x14:dxf>
              <border>
                <left style="thin">
                  <color theme="0"/>
                </left>
                <right style="thin">
                  <color theme="0"/>
                </right>
                <top style="thin">
                  <color theme="0"/>
                </top>
                <bottom style="thin">
                  <color theme="0"/>
                </bottom>
                <vertical/>
                <horizontal/>
              </border>
            </x14:dxf>
          </x14:cfRule>
          <xm:sqref>U28:U30</xm:sqref>
        </x14:conditionalFormatting>
        <x14:conditionalFormatting xmlns:xm="http://schemas.microsoft.com/office/excel/2006/main">
          <x14:cfRule type="expression" priority="3310" id="{9D8EAA10-831B-47F6-9880-B672D74A7B47}">
            <xm:f>$Z$8='Assessment Details'!$Q$23</xm:f>
            <x14:dxf>
              <font>
                <color theme="0"/>
              </font>
              <fill>
                <patternFill>
                  <bgColor theme="0"/>
                </patternFill>
              </fill>
            </x14:dxf>
          </x14:cfRule>
          <xm:sqref>U32:U34</xm:sqref>
        </x14:conditionalFormatting>
        <x14:conditionalFormatting xmlns:xm="http://schemas.microsoft.com/office/excel/2006/main">
          <x14:cfRule type="expression" priority="3309" id="{8D490185-C11D-4E2C-A262-0F04EC874789}">
            <xm:f>$Z$8='Assessment Details'!$Q$23</xm:f>
            <x14:dxf>
              <border>
                <left style="thin">
                  <color theme="0"/>
                </left>
                <right style="thin">
                  <color theme="0"/>
                </right>
                <top style="thin">
                  <color theme="0"/>
                </top>
                <bottom style="thin">
                  <color theme="0"/>
                </bottom>
                <vertical/>
                <horizontal/>
              </border>
            </x14:dxf>
          </x14:cfRule>
          <xm:sqref>U32:U34</xm:sqref>
        </x14:conditionalFormatting>
        <x14:conditionalFormatting xmlns:xm="http://schemas.microsoft.com/office/excel/2006/main">
          <x14:cfRule type="expression" priority="1197" id="{1157C328-2960-4AAC-B89F-17A69C6D9E95}">
            <xm:f>$Z$8='Assessment Details'!$Q$23</xm:f>
            <x14:dxf>
              <border>
                <left style="thin">
                  <color theme="0"/>
                </left>
                <right style="thin">
                  <color theme="0"/>
                </right>
                <top style="thin">
                  <color theme="0"/>
                </top>
                <bottom style="thin">
                  <color theme="0"/>
                </bottom>
                <vertical/>
                <horizontal/>
              </border>
            </x14:dxf>
          </x14:cfRule>
          <xm:sqref>U205:U206</xm:sqref>
        </x14:conditionalFormatting>
        <x14:conditionalFormatting xmlns:xm="http://schemas.microsoft.com/office/excel/2006/main">
          <x14:cfRule type="expression" priority="3295" id="{6C3AC176-5C03-43AC-B982-5A5210702F2C}">
            <xm:f>$S$8='Assessment Details'!$Q$23</xm:f>
            <x14:dxf>
              <font>
                <color theme="0"/>
              </font>
              <fill>
                <patternFill>
                  <bgColor theme="0"/>
                </patternFill>
              </fill>
              <border>
                <vertical/>
                <horizontal/>
              </border>
            </x14:dxf>
          </x14:cfRule>
          <xm:sqref>Q38:R39</xm:sqref>
        </x14:conditionalFormatting>
        <x14:conditionalFormatting xmlns:xm="http://schemas.microsoft.com/office/excel/2006/main">
          <x14:cfRule type="expression" priority="3294" id="{DDB385AE-37C4-40DB-A9DD-5D96C9F8473F}">
            <xm:f>$S$8='Assessment Details'!$Q$23</xm:f>
            <x14:dxf>
              <border>
                <left style="thin">
                  <color theme="0"/>
                </left>
                <right style="thin">
                  <color theme="0"/>
                </right>
                <top style="thin">
                  <color theme="0"/>
                </top>
                <bottom style="thin">
                  <color theme="0"/>
                </bottom>
                <vertical/>
                <horizontal/>
              </border>
            </x14:dxf>
          </x14:cfRule>
          <xm:sqref>Q38:R39</xm:sqref>
        </x14:conditionalFormatting>
        <x14:conditionalFormatting xmlns:xm="http://schemas.microsoft.com/office/excel/2006/main">
          <x14:cfRule type="expression" priority="3293" id="{922435A6-256D-41EC-B350-F35DE030C64C}">
            <xm:f>$Z$8='Assessment Details'!$Q$23</xm:f>
            <x14:dxf>
              <font>
                <color theme="0"/>
              </font>
              <fill>
                <patternFill>
                  <bgColor theme="0"/>
                </patternFill>
              </fill>
            </x14:dxf>
          </x14:cfRule>
          <xm:sqref>X38:Y39</xm:sqref>
        </x14:conditionalFormatting>
        <x14:conditionalFormatting xmlns:xm="http://schemas.microsoft.com/office/excel/2006/main">
          <x14:cfRule type="expression" priority="3292" id="{30653C29-5FEC-4020-A8A1-BF730558D507}">
            <xm:f>$Z$8='Assessment Details'!$Q$23</xm:f>
            <x14:dxf>
              <border>
                <left style="thin">
                  <color theme="0"/>
                </left>
                <right style="thin">
                  <color theme="0"/>
                </right>
                <top style="thin">
                  <color theme="0"/>
                </top>
                <bottom style="thin">
                  <color theme="0"/>
                </bottom>
                <vertical/>
                <horizontal/>
              </border>
            </x14:dxf>
          </x14:cfRule>
          <xm:sqref>X38:Y39</xm:sqref>
        </x14:conditionalFormatting>
        <x14:conditionalFormatting xmlns:xm="http://schemas.microsoft.com/office/excel/2006/main">
          <x14:cfRule type="expression" priority="3274" id="{C5FDD142-AD61-4957-894A-D69E602D3558}">
            <xm:f>$S$8='Assessment Details'!$Q$23</xm:f>
            <x14:dxf>
              <font>
                <color theme="0"/>
              </font>
              <fill>
                <patternFill>
                  <bgColor theme="0"/>
                </patternFill>
              </fill>
              <border>
                <vertical/>
                <horizontal/>
              </border>
            </x14:dxf>
          </x14:cfRule>
          <xm:sqref>Q65:R65</xm:sqref>
        </x14:conditionalFormatting>
        <x14:conditionalFormatting xmlns:xm="http://schemas.microsoft.com/office/excel/2006/main">
          <x14:cfRule type="expression" priority="3273" id="{9DB8FE42-9040-4E4E-A9EA-F4D2918927B9}">
            <xm:f>$S$8='Assessment Details'!$Q$23</xm:f>
            <x14:dxf>
              <border>
                <left style="thin">
                  <color theme="0"/>
                </left>
                <right style="thin">
                  <color theme="0"/>
                </right>
                <top style="thin">
                  <color theme="0"/>
                </top>
                <bottom style="thin">
                  <color theme="0"/>
                </bottom>
                <vertical/>
                <horizontal/>
              </border>
            </x14:dxf>
          </x14:cfRule>
          <xm:sqref>Q65:R65</xm:sqref>
        </x14:conditionalFormatting>
        <x14:conditionalFormatting xmlns:xm="http://schemas.microsoft.com/office/excel/2006/main">
          <x14:cfRule type="expression" priority="3272" id="{2CA6F8E7-D3DE-4547-8A93-31B420D3AA32}">
            <xm:f>$Z$8='Assessment Details'!$Q$23</xm:f>
            <x14:dxf>
              <font>
                <color theme="0"/>
              </font>
              <fill>
                <patternFill>
                  <bgColor theme="0"/>
                </patternFill>
              </fill>
            </x14:dxf>
          </x14:cfRule>
          <xm:sqref>X65:Y65</xm:sqref>
        </x14:conditionalFormatting>
        <x14:conditionalFormatting xmlns:xm="http://schemas.microsoft.com/office/excel/2006/main">
          <x14:cfRule type="expression" priority="3271" id="{EB20820A-77BD-428A-B963-01B423B6B520}">
            <xm:f>$Z$8='Assessment Details'!$Q$23</xm:f>
            <x14:dxf>
              <border>
                <left style="thin">
                  <color theme="0"/>
                </left>
                <right style="thin">
                  <color theme="0"/>
                </right>
                <top style="thin">
                  <color theme="0"/>
                </top>
                <bottom style="thin">
                  <color theme="0"/>
                </bottom>
                <vertical/>
                <horizontal/>
              </border>
            </x14:dxf>
          </x14:cfRule>
          <xm:sqref>X65:Y65</xm:sqref>
        </x14:conditionalFormatting>
        <x14:conditionalFormatting xmlns:xm="http://schemas.microsoft.com/office/excel/2006/main">
          <x14:cfRule type="expression" priority="3253" id="{9BE243BD-939B-4B2A-8445-545F1AAAA016}">
            <xm:f>$S$8='Assessment Details'!$Q$23</xm:f>
            <x14:dxf>
              <font>
                <color theme="0"/>
              </font>
              <fill>
                <patternFill>
                  <bgColor theme="0"/>
                </patternFill>
              </fill>
              <border>
                <vertical/>
                <horizontal/>
              </border>
            </x14:dxf>
          </x14:cfRule>
          <xm:sqref>Q94:R94</xm:sqref>
        </x14:conditionalFormatting>
        <x14:conditionalFormatting xmlns:xm="http://schemas.microsoft.com/office/excel/2006/main">
          <x14:cfRule type="expression" priority="3252" id="{31D3F3DC-A5A6-43F7-A84E-47847D571250}">
            <xm:f>$S$8='Assessment Details'!$Q$23</xm:f>
            <x14:dxf>
              <border>
                <left style="thin">
                  <color theme="0"/>
                </left>
                <right style="thin">
                  <color theme="0"/>
                </right>
                <top style="thin">
                  <color theme="0"/>
                </top>
                <bottom style="thin">
                  <color theme="0"/>
                </bottom>
                <vertical/>
                <horizontal/>
              </border>
            </x14:dxf>
          </x14:cfRule>
          <xm:sqref>Q94:R94</xm:sqref>
        </x14:conditionalFormatting>
        <x14:conditionalFormatting xmlns:xm="http://schemas.microsoft.com/office/excel/2006/main">
          <x14:cfRule type="expression" priority="3251" id="{0D96B168-A075-4ACA-972F-7C5BD9EDF006}">
            <xm:f>$Z$8='Assessment Details'!$Q$23</xm:f>
            <x14:dxf>
              <font>
                <color theme="0"/>
              </font>
              <fill>
                <patternFill>
                  <bgColor theme="0"/>
                </patternFill>
              </fill>
            </x14:dxf>
          </x14:cfRule>
          <xm:sqref>X94:Y94</xm:sqref>
        </x14:conditionalFormatting>
        <x14:conditionalFormatting xmlns:xm="http://schemas.microsoft.com/office/excel/2006/main">
          <x14:cfRule type="expression" priority="3250" id="{BEDE4353-73BB-4268-9782-D92BFDFF7B2F}">
            <xm:f>$Z$8='Assessment Details'!$Q$23</xm:f>
            <x14:dxf>
              <border>
                <left style="thin">
                  <color theme="0"/>
                </left>
                <right style="thin">
                  <color theme="0"/>
                </right>
                <top style="thin">
                  <color theme="0"/>
                </top>
                <bottom style="thin">
                  <color theme="0"/>
                </bottom>
                <vertical/>
                <horizontal/>
              </border>
            </x14:dxf>
          </x14:cfRule>
          <xm:sqref>X94:Y94</xm:sqref>
        </x14:conditionalFormatting>
        <x14:conditionalFormatting xmlns:xm="http://schemas.microsoft.com/office/excel/2006/main">
          <x14:cfRule type="expression" priority="3232" id="{BD646086-7FEC-4608-8260-A1539322D6DC}">
            <xm:f>$S$8='Assessment Details'!$Q$23</xm:f>
            <x14:dxf>
              <font>
                <color theme="0"/>
              </font>
              <fill>
                <patternFill>
                  <bgColor theme="0"/>
                </patternFill>
              </fill>
              <border>
                <vertical/>
                <horizontal/>
              </border>
            </x14:dxf>
          </x14:cfRule>
          <xm:sqref>Q103:R103</xm:sqref>
        </x14:conditionalFormatting>
        <x14:conditionalFormatting xmlns:xm="http://schemas.microsoft.com/office/excel/2006/main">
          <x14:cfRule type="expression" priority="3231" id="{EEA9CA69-870A-4711-A0E3-C79AA489B52D}">
            <xm:f>$S$8='Assessment Details'!$Q$23</xm:f>
            <x14:dxf>
              <border>
                <left style="thin">
                  <color theme="0"/>
                </left>
                <right style="thin">
                  <color theme="0"/>
                </right>
                <top style="thin">
                  <color theme="0"/>
                </top>
                <bottom style="thin">
                  <color theme="0"/>
                </bottom>
                <vertical/>
                <horizontal/>
              </border>
            </x14:dxf>
          </x14:cfRule>
          <xm:sqref>Q103:R103</xm:sqref>
        </x14:conditionalFormatting>
        <x14:conditionalFormatting xmlns:xm="http://schemas.microsoft.com/office/excel/2006/main">
          <x14:cfRule type="expression" priority="3230" id="{26400E7D-6B6F-447E-83D4-8FC0EB5CF78E}">
            <xm:f>$Z$8='Assessment Details'!$Q$23</xm:f>
            <x14:dxf>
              <font>
                <color theme="0"/>
              </font>
              <fill>
                <patternFill>
                  <bgColor theme="0"/>
                </patternFill>
              </fill>
            </x14:dxf>
          </x14:cfRule>
          <xm:sqref>X103:Y103</xm:sqref>
        </x14:conditionalFormatting>
        <x14:conditionalFormatting xmlns:xm="http://schemas.microsoft.com/office/excel/2006/main">
          <x14:cfRule type="expression" priority="3229" id="{F8A3620C-8EF9-428C-A90A-9C7C4BFC7B8F}">
            <xm:f>$Z$8='Assessment Details'!$Q$23</xm:f>
            <x14:dxf>
              <border>
                <left style="thin">
                  <color theme="0"/>
                </left>
                <right style="thin">
                  <color theme="0"/>
                </right>
                <top style="thin">
                  <color theme="0"/>
                </top>
                <bottom style="thin">
                  <color theme="0"/>
                </bottom>
                <vertical/>
                <horizontal/>
              </border>
            </x14:dxf>
          </x14:cfRule>
          <xm:sqref>X103:Y103</xm:sqref>
        </x14:conditionalFormatting>
        <x14:conditionalFormatting xmlns:xm="http://schemas.microsoft.com/office/excel/2006/main">
          <x14:cfRule type="expression" priority="3211" id="{1421B727-C568-499F-B397-D12CBB809207}">
            <xm:f>$S$8='Assessment Details'!$Q$23</xm:f>
            <x14:dxf>
              <font>
                <color theme="0"/>
              </font>
              <fill>
                <patternFill>
                  <bgColor theme="0"/>
                </patternFill>
              </fill>
              <border>
                <vertical/>
                <horizontal/>
              </border>
            </x14:dxf>
          </x14:cfRule>
          <xm:sqref>Q117:R117</xm:sqref>
        </x14:conditionalFormatting>
        <x14:conditionalFormatting xmlns:xm="http://schemas.microsoft.com/office/excel/2006/main">
          <x14:cfRule type="expression" priority="3210" id="{8B0E32BB-5BEA-47CD-9C01-AAF17FE22052}">
            <xm:f>$S$8='Assessment Details'!$Q$23</xm:f>
            <x14:dxf>
              <border>
                <left style="thin">
                  <color theme="0"/>
                </left>
                <right style="thin">
                  <color theme="0"/>
                </right>
                <top style="thin">
                  <color theme="0"/>
                </top>
                <bottom style="thin">
                  <color theme="0"/>
                </bottom>
                <vertical/>
                <horizontal/>
              </border>
            </x14:dxf>
          </x14:cfRule>
          <xm:sqref>Q117:R117</xm:sqref>
        </x14:conditionalFormatting>
        <x14:conditionalFormatting xmlns:xm="http://schemas.microsoft.com/office/excel/2006/main">
          <x14:cfRule type="expression" priority="3209" id="{C13FC868-E52F-4756-B818-0A85DAE4126A}">
            <xm:f>$Z$8='Assessment Details'!$Q$23</xm:f>
            <x14:dxf>
              <font>
                <color theme="0"/>
              </font>
              <fill>
                <patternFill>
                  <bgColor theme="0"/>
                </patternFill>
              </fill>
            </x14:dxf>
          </x14:cfRule>
          <xm:sqref>X117:Y117</xm:sqref>
        </x14:conditionalFormatting>
        <x14:conditionalFormatting xmlns:xm="http://schemas.microsoft.com/office/excel/2006/main">
          <x14:cfRule type="expression" priority="3208" id="{88FDF083-3680-4574-BAB7-515BC4B41E56}">
            <xm:f>$Z$8='Assessment Details'!$Q$23</xm:f>
            <x14:dxf>
              <border>
                <left style="thin">
                  <color theme="0"/>
                </left>
                <right style="thin">
                  <color theme="0"/>
                </right>
                <top style="thin">
                  <color theme="0"/>
                </top>
                <bottom style="thin">
                  <color theme="0"/>
                </bottom>
                <vertical/>
                <horizontal/>
              </border>
            </x14:dxf>
          </x14:cfRule>
          <xm:sqref>X117:Y117</xm:sqref>
        </x14:conditionalFormatting>
        <x14:conditionalFormatting xmlns:xm="http://schemas.microsoft.com/office/excel/2006/main">
          <x14:cfRule type="expression" priority="3190" id="{81F3038F-426F-4747-8900-DBE5B652BCC2}">
            <xm:f>$S$8='Assessment Details'!$Q$23</xm:f>
            <x14:dxf>
              <font>
                <color theme="0"/>
              </font>
              <fill>
                <patternFill>
                  <bgColor theme="0"/>
                </patternFill>
              </fill>
              <border>
                <vertical/>
                <horizontal/>
              </border>
            </x14:dxf>
          </x14:cfRule>
          <xm:sqref>Q147:R147</xm:sqref>
        </x14:conditionalFormatting>
        <x14:conditionalFormatting xmlns:xm="http://schemas.microsoft.com/office/excel/2006/main">
          <x14:cfRule type="expression" priority="3189" id="{28CCF0C5-F228-4C53-8E33-EBBA0F28B7CE}">
            <xm:f>$S$8='Assessment Details'!$Q$23</xm:f>
            <x14:dxf>
              <border>
                <left style="thin">
                  <color theme="0"/>
                </left>
                <right style="thin">
                  <color theme="0"/>
                </right>
                <top style="thin">
                  <color theme="0"/>
                </top>
                <bottom style="thin">
                  <color theme="0"/>
                </bottom>
                <vertical/>
                <horizontal/>
              </border>
            </x14:dxf>
          </x14:cfRule>
          <xm:sqref>Q147:R147</xm:sqref>
        </x14:conditionalFormatting>
        <x14:conditionalFormatting xmlns:xm="http://schemas.microsoft.com/office/excel/2006/main">
          <x14:cfRule type="expression" priority="3188" id="{7383BAE4-3D48-4869-9E46-23F6B5EB3A82}">
            <xm:f>$Z$8='Assessment Details'!$Q$23</xm:f>
            <x14:dxf>
              <font>
                <color theme="0"/>
              </font>
              <fill>
                <patternFill>
                  <bgColor theme="0"/>
                </patternFill>
              </fill>
            </x14:dxf>
          </x14:cfRule>
          <xm:sqref>X147:Y147</xm:sqref>
        </x14:conditionalFormatting>
        <x14:conditionalFormatting xmlns:xm="http://schemas.microsoft.com/office/excel/2006/main">
          <x14:cfRule type="expression" priority="3187" id="{FCFE5056-63F8-452F-AED4-120DD2450C0C}">
            <xm:f>$Z$8='Assessment Details'!$Q$23</xm:f>
            <x14:dxf>
              <border>
                <left style="thin">
                  <color theme="0"/>
                </left>
                <right style="thin">
                  <color theme="0"/>
                </right>
                <top style="thin">
                  <color theme="0"/>
                </top>
                <bottom style="thin">
                  <color theme="0"/>
                </bottom>
                <vertical/>
                <horizontal/>
              </border>
            </x14:dxf>
          </x14:cfRule>
          <xm:sqref>X147:Y147</xm:sqref>
        </x14:conditionalFormatting>
        <x14:conditionalFormatting xmlns:xm="http://schemas.microsoft.com/office/excel/2006/main">
          <x14:cfRule type="expression" priority="3169" id="{0444930C-4CE3-44D2-BC81-4C1D88FCCA1B}">
            <xm:f>$S$8='Assessment Details'!$Q$23</xm:f>
            <x14:dxf>
              <font>
                <color theme="0"/>
              </font>
              <fill>
                <patternFill>
                  <bgColor theme="0"/>
                </patternFill>
              </fill>
              <border>
                <vertical/>
                <horizontal/>
              </border>
            </x14:dxf>
          </x14:cfRule>
          <xm:sqref>Q162:R162</xm:sqref>
        </x14:conditionalFormatting>
        <x14:conditionalFormatting xmlns:xm="http://schemas.microsoft.com/office/excel/2006/main">
          <x14:cfRule type="expression" priority="3168" id="{2DBE5A5D-98A8-4AE5-BC54-26B6836E0BC9}">
            <xm:f>$S$8='Assessment Details'!$Q$23</xm:f>
            <x14:dxf>
              <border>
                <left style="thin">
                  <color theme="0"/>
                </left>
                <right style="thin">
                  <color theme="0"/>
                </right>
                <top style="thin">
                  <color theme="0"/>
                </top>
                <bottom style="thin">
                  <color theme="0"/>
                </bottom>
                <vertical/>
                <horizontal/>
              </border>
            </x14:dxf>
          </x14:cfRule>
          <xm:sqref>Q162:R162</xm:sqref>
        </x14:conditionalFormatting>
        <x14:conditionalFormatting xmlns:xm="http://schemas.microsoft.com/office/excel/2006/main">
          <x14:cfRule type="expression" priority="3167" id="{CAF06E05-9020-4AD1-8454-3BB6ED627400}">
            <xm:f>$Z$8='Assessment Details'!$Q$23</xm:f>
            <x14:dxf>
              <font>
                <color theme="0"/>
              </font>
              <fill>
                <patternFill>
                  <bgColor theme="0"/>
                </patternFill>
              </fill>
            </x14:dxf>
          </x14:cfRule>
          <xm:sqref>X162:Y162</xm:sqref>
        </x14:conditionalFormatting>
        <x14:conditionalFormatting xmlns:xm="http://schemas.microsoft.com/office/excel/2006/main">
          <x14:cfRule type="expression" priority="3166" id="{263A6C7E-BA95-4754-8A43-ED99E15179A0}">
            <xm:f>$Z$8='Assessment Details'!$Q$23</xm:f>
            <x14:dxf>
              <border>
                <left style="thin">
                  <color theme="0"/>
                </left>
                <right style="thin">
                  <color theme="0"/>
                </right>
                <top style="thin">
                  <color theme="0"/>
                </top>
                <bottom style="thin">
                  <color theme="0"/>
                </bottom>
                <vertical/>
                <horizontal/>
              </border>
            </x14:dxf>
          </x14:cfRule>
          <xm:sqref>X162:Y162</xm:sqref>
        </x14:conditionalFormatting>
        <x14:conditionalFormatting xmlns:xm="http://schemas.microsoft.com/office/excel/2006/main">
          <x14:cfRule type="expression" priority="3148" id="{CFFC450B-3C88-4BFB-ACDE-B81081183CE2}">
            <xm:f>$S$8='Assessment Details'!$Q$23</xm:f>
            <x14:dxf>
              <font>
                <color theme="0"/>
              </font>
              <fill>
                <patternFill>
                  <bgColor theme="0"/>
                </patternFill>
              </fill>
              <border>
                <vertical/>
                <horizontal/>
              </border>
            </x14:dxf>
          </x14:cfRule>
          <xm:sqref>Q193:R193</xm:sqref>
        </x14:conditionalFormatting>
        <x14:conditionalFormatting xmlns:xm="http://schemas.microsoft.com/office/excel/2006/main">
          <x14:cfRule type="expression" priority="3147" id="{2DEBF06C-E242-4F1F-A859-338D0E5EDD24}">
            <xm:f>$S$8='Assessment Details'!$Q$23</xm:f>
            <x14:dxf>
              <border>
                <left style="thin">
                  <color theme="0"/>
                </left>
                <right style="thin">
                  <color theme="0"/>
                </right>
                <top style="thin">
                  <color theme="0"/>
                </top>
                <bottom style="thin">
                  <color theme="0"/>
                </bottom>
                <vertical/>
                <horizontal/>
              </border>
            </x14:dxf>
          </x14:cfRule>
          <xm:sqref>Q193:R193</xm:sqref>
        </x14:conditionalFormatting>
        <x14:conditionalFormatting xmlns:xm="http://schemas.microsoft.com/office/excel/2006/main">
          <x14:cfRule type="expression" priority="3146" id="{DEC4FF61-29DE-4AF0-9EA4-ABA92DE9431F}">
            <xm:f>$Z$8='Assessment Details'!$Q$23</xm:f>
            <x14:dxf>
              <font>
                <color theme="0"/>
              </font>
              <fill>
                <patternFill>
                  <bgColor theme="0"/>
                </patternFill>
              </fill>
            </x14:dxf>
          </x14:cfRule>
          <xm:sqref>X193:Y193</xm:sqref>
        </x14:conditionalFormatting>
        <x14:conditionalFormatting xmlns:xm="http://schemas.microsoft.com/office/excel/2006/main">
          <x14:cfRule type="expression" priority="3145" id="{DC296F35-B16D-4F66-B19D-31F96D1F6B50}">
            <xm:f>$Z$8='Assessment Details'!$Q$23</xm:f>
            <x14:dxf>
              <border>
                <left style="thin">
                  <color theme="0"/>
                </left>
                <right style="thin">
                  <color theme="0"/>
                </right>
                <top style="thin">
                  <color theme="0"/>
                </top>
                <bottom style="thin">
                  <color theme="0"/>
                </bottom>
                <vertical/>
                <horizontal/>
              </border>
            </x14:dxf>
          </x14:cfRule>
          <xm:sqref>X193:Y193</xm:sqref>
        </x14:conditionalFormatting>
        <x14:conditionalFormatting xmlns:xm="http://schemas.microsoft.com/office/excel/2006/main">
          <x14:cfRule type="expression" priority="3131" id="{6A17C14E-95CA-4F1C-941A-66E9A1A1F0C1}">
            <xm:f>$S$8='Assessment Details'!$Q$23</xm:f>
            <x14:dxf>
              <font>
                <color theme="0"/>
              </font>
              <fill>
                <patternFill>
                  <bgColor theme="0"/>
                </patternFill>
              </fill>
              <border>
                <vertical/>
                <horizontal/>
              </border>
            </x14:dxf>
          </x14:cfRule>
          <xm:sqref>Q45:R45</xm:sqref>
        </x14:conditionalFormatting>
        <x14:conditionalFormatting xmlns:xm="http://schemas.microsoft.com/office/excel/2006/main">
          <x14:cfRule type="expression" priority="3130" id="{F769F6F4-F7AE-411A-9AB4-D2BEE81131E4}">
            <xm:f>$S$8='Assessment Details'!$Q$23</xm:f>
            <x14:dxf>
              <border>
                <left style="thin">
                  <color theme="0"/>
                </left>
                <right style="thin">
                  <color theme="0"/>
                </right>
                <top style="thin">
                  <color theme="0"/>
                </top>
                <bottom style="thin">
                  <color theme="0"/>
                </bottom>
                <vertical/>
                <horizontal/>
              </border>
            </x14:dxf>
          </x14:cfRule>
          <xm:sqref>Q45:R45</xm:sqref>
        </x14:conditionalFormatting>
        <x14:conditionalFormatting xmlns:xm="http://schemas.microsoft.com/office/excel/2006/main">
          <x14:cfRule type="expression" priority="3129" id="{A0788221-5360-4C20-8F7C-C13BEF4AB25B}">
            <xm:f>$Z$8='Assessment Details'!$Q$23</xm:f>
            <x14:dxf>
              <font>
                <color theme="0"/>
              </font>
              <fill>
                <patternFill>
                  <bgColor theme="0"/>
                </patternFill>
              </fill>
            </x14:dxf>
          </x14:cfRule>
          <xm:sqref>X45:Y45</xm:sqref>
        </x14:conditionalFormatting>
        <x14:conditionalFormatting xmlns:xm="http://schemas.microsoft.com/office/excel/2006/main">
          <x14:cfRule type="expression" priority="3128" id="{63B44E60-F62E-48F7-B912-3C336492CDB7}">
            <xm:f>$Z$8='Assessment Details'!$Q$23</xm:f>
            <x14:dxf>
              <border>
                <left style="thin">
                  <color theme="0"/>
                </left>
                <right style="thin">
                  <color theme="0"/>
                </right>
                <top style="thin">
                  <color theme="0"/>
                </top>
                <bottom style="thin">
                  <color theme="0"/>
                </bottom>
                <vertical/>
                <horizontal/>
              </border>
            </x14:dxf>
          </x14:cfRule>
          <xm:sqref>X45:Y45</xm:sqref>
        </x14:conditionalFormatting>
        <x14:conditionalFormatting xmlns:xm="http://schemas.microsoft.com/office/excel/2006/main">
          <x14:cfRule type="expression" priority="3109" id="{CBDEB4C6-EF37-4241-8BAA-7739B31D5E1D}">
            <xm:f>$S$8='Assessment Details'!$Q$23</xm:f>
            <x14:dxf>
              <font>
                <color theme="0"/>
              </font>
              <fill>
                <patternFill>
                  <bgColor theme="0"/>
                </patternFill>
              </fill>
              <border>
                <vertical/>
                <horizontal/>
              </border>
            </x14:dxf>
          </x14:cfRule>
          <xm:sqref>Q50:R50</xm:sqref>
        </x14:conditionalFormatting>
        <x14:conditionalFormatting xmlns:xm="http://schemas.microsoft.com/office/excel/2006/main">
          <x14:cfRule type="expression" priority="3108" id="{98C9992C-FC97-4376-8F1F-6C25652AA061}">
            <xm:f>$S$8='Assessment Details'!$Q$23</xm:f>
            <x14:dxf>
              <border>
                <left style="thin">
                  <color theme="0"/>
                </left>
                <right style="thin">
                  <color theme="0"/>
                </right>
                <top style="thin">
                  <color theme="0"/>
                </top>
                <bottom style="thin">
                  <color theme="0"/>
                </bottom>
                <vertical/>
                <horizontal/>
              </border>
            </x14:dxf>
          </x14:cfRule>
          <xm:sqref>Q50:R50</xm:sqref>
        </x14:conditionalFormatting>
        <x14:conditionalFormatting xmlns:xm="http://schemas.microsoft.com/office/excel/2006/main">
          <x14:cfRule type="expression" priority="3107" id="{1E0CC94B-D03A-43E3-ABDB-D0627BB41F93}">
            <xm:f>$Z$8='Assessment Details'!$Q$23</xm:f>
            <x14:dxf>
              <font>
                <color theme="0"/>
              </font>
              <fill>
                <patternFill>
                  <bgColor theme="0"/>
                </patternFill>
              </fill>
            </x14:dxf>
          </x14:cfRule>
          <xm:sqref>X50:Y50</xm:sqref>
        </x14:conditionalFormatting>
        <x14:conditionalFormatting xmlns:xm="http://schemas.microsoft.com/office/excel/2006/main">
          <x14:cfRule type="expression" priority="3106" id="{A0BFE9FF-1D5A-44B7-B8CC-374C010E9FD7}">
            <xm:f>$Z$8='Assessment Details'!$Q$23</xm:f>
            <x14:dxf>
              <border>
                <left style="thin">
                  <color theme="0"/>
                </left>
                <right style="thin">
                  <color theme="0"/>
                </right>
                <top style="thin">
                  <color theme="0"/>
                </top>
                <bottom style="thin">
                  <color theme="0"/>
                </bottom>
                <vertical/>
                <horizontal/>
              </border>
            </x14:dxf>
          </x14:cfRule>
          <xm:sqref>X50:Y50</xm:sqref>
        </x14:conditionalFormatting>
        <x14:conditionalFormatting xmlns:xm="http://schemas.microsoft.com/office/excel/2006/main">
          <x14:cfRule type="expression" priority="3087" id="{9315D916-3649-45C8-B0ED-ACFE0A540766}">
            <xm:f>$S$8='Assessment Details'!$Q$23</xm:f>
            <x14:dxf>
              <font>
                <color theme="0"/>
              </font>
              <fill>
                <patternFill>
                  <bgColor theme="0"/>
                </patternFill>
              </fill>
              <border>
                <vertical/>
                <horizontal/>
              </border>
            </x14:dxf>
          </x14:cfRule>
          <xm:sqref>Q54:R54</xm:sqref>
        </x14:conditionalFormatting>
        <x14:conditionalFormatting xmlns:xm="http://schemas.microsoft.com/office/excel/2006/main">
          <x14:cfRule type="expression" priority="3086" id="{AACA57D1-7737-49BB-B036-00DAFF086512}">
            <xm:f>$S$8='Assessment Details'!$Q$23</xm:f>
            <x14:dxf>
              <border>
                <left style="thin">
                  <color theme="0"/>
                </left>
                <right style="thin">
                  <color theme="0"/>
                </right>
                <top style="thin">
                  <color theme="0"/>
                </top>
                <bottom style="thin">
                  <color theme="0"/>
                </bottom>
                <vertical/>
                <horizontal/>
              </border>
            </x14:dxf>
          </x14:cfRule>
          <xm:sqref>Q54:R54</xm:sqref>
        </x14:conditionalFormatting>
        <x14:conditionalFormatting xmlns:xm="http://schemas.microsoft.com/office/excel/2006/main">
          <x14:cfRule type="expression" priority="3085" id="{43C21B87-38F1-427F-A470-0691091C6BDB}">
            <xm:f>$Z$8='Assessment Details'!$Q$23</xm:f>
            <x14:dxf>
              <font>
                <color theme="0"/>
              </font>
              <fill>
                <patternFill>
                  <bgColor theme="0"/>
                </patternFill>
              </fill>
            </x14:dxf>
          </x14:cfRule>
          <xm:sqref>X54:Y54</xm:sqref>
        </x14:conditionalFormatting>
        <x14:conditionalFormatting xmlns:xm="http://schemas.microsoft.com/office/excel/2006/main">
          <x14:cfRule type="expression" priority="3084" id="{DDB11178-A34E-43ED-9082-874182B16AC8}">
            <xm:f>$Z$8='Assessment Details'!$Q$23</xm:f>
            <x14:dxf>
              <border>
                <left style="thin">
                  <color theme="0"/>
                </left>
                <right style="thin">
                  <color theme="0"/>
                </right>
                <top style="thin">
                  <color theme="0"/>
                </top>
                <bottom style="thin">
                  <color theme="0"/>
                </bottom>
                <vertical/>
                <horizontal/>
              </border>
            </x14:dxf>
          </x14:cfRule>
          <xm:sqref>X54:Y54</xm:sqref>
        </x14:conditionalFormatting>
        <x14:conditionalFormatting xmlns:xm="http://schemas.microsoft.com/office/excel/2006/main">
          <x14:cfRule type="expression" priority="3065" id="{2AAD307E-B81E-482C-9484-1DC14EB803E1}">
            <xm:f>$S$8='Assessment Details'!$Q$23</xm:f>
            <x14:dxf>
              <font>
                <color theme="0"/>
              </font>
              <fill>
                <patternFill>
                  <bgColor theme="0"/>
                </patternFill>
              </fill>
              <border>
                <vertical/>
                <horizontal/>
              </border>
            </x14:dxf>
          </x14:cfRule>
          <xm:sqref>Q57:R57</xm:sqref>
        </x14:conditionalFormatting>
        <x14:conditionalFormatting xmlns:xm="http://schemas.microsoft.com/office/excel/2006/main">
          <x14:cfRule type="expression" priority="3064" id="{C6779728-8D99-4A90-B6F0-6A91A235055A}">
            <xm:f>$S$8='Assessment Details'!$Q$23</xm:f>
            <x14:dxf>
              <border>
                <left style="thin">
                  <color theme="0"/>
                </left>
                <right style="thin">
                  <color theme="0"/>
                </right>
                <top style="thin">
                  <color theme="0"/>
                </top>
                <bottom style="thin">
                  <color theme="0"/>
                </bottom>
                <vertical/>
                <horizontal/>
              </border>
            </x14:dxf>
          </x14:cfRule>
          <xm:sqref>Q57:R57</xm:sqref>
        </x14:conditionalFormatting>
        <x14:conditionalFormatting xmlns:xm="http://schemas.microsoft.com/office/excel/2006/main">
          <x14:cfRule type="expression" priority="3063" id="{470EE464-3C4C-46E9-97C4-A37B85B17826}">
            <xm:f>$Z$8='Assessment Details'!$Q$23</xm:f>
            <x14:dxf>
              <font>
                <color theme="0"/>
              </font>
              <fill>
                <patternFill>
                  <bgColor theme="0"/>
                </patternFill>
              </fill>
            </x14:dxf>
          </x14:cfRule>
          <xm:sqref>X57:Y57</xm:sqref>
        </x14:conditionalFormatting>
        <x14:conditionalFormatting xmlns:xm="http://schemas.microsoft.com/office/excel/2006/main">
          <x14:cfRule type="expression" priority="3062" id="{CD4B009A-E5AC-4E20-A4D7-4F7AD941F9AC}">
            <xm:f>$Z$8='Assessment Details'!$Q$23</xm:f>
            <x14:dxf>
              <border>
                <left style="thin">
                  <color theme="0"/>
                </left>
                <right style="thin">
                  <color theme="0"/>
                </right>
                <top style="thin">
                  <color theme="0"/>
                </top>
                <bottom style="thin">
                  <color theme="0"/>
                </bottom>
                <vertical/>
                <horizontal/>
              </border>
            </x14:dxf>
          </x14:cfRule>
          <xm:sqref>X57:Y57</xm:sqref>
        </x14:conditionalFormatting>
        <x14:conditionalFormatting xmlns:xm="http://schemas.microsoft.com/office/excel/2006/main">
          <x14:cfRule type="expression" priority="3043" id="{975964DE-804D-495C-95B4-CA7D3DAF2E82}">
            <xm:f>$S$8='Assessment Details'!$Q$23</xm:f>
            <x14:dxf>
              <font>
                <color theme="0"/>
              </font>
              <fill>
                <patternFill>
                  <bgColor theme="0"/>
                </patternFill>
              </fill>
              <border>
                <vertical/>
                <horizontal/>
              </border>
            </x14:dxf>
          </x14:cfRule>
          <xm:sqref>Q60:R60</xm:sqref>
        </x14:conditionalFormatting>
        <x14:conditionalFormatting xmlns:xm="http://schemas.microsoft.com/office/excel/2006/main">
          <x14:cfRule type="expression" priority="3042" id="{2FD449FD-26A9-4824-9821-933499E607A2}">
            <xm:f>$S$8='Assessment Details'!$Q$23</xm:f>
            <x14:dxf>
              <border>
                <left style="thin">
                  <color theme="0"/>
                </left>
                <right style="thin">
                  <color theme="0"/>
                </right>
                <top style="thin">
                  <color theme="0"/>
                </top>
                <bottom style="thin">
                  <color theme="0"/>
                </bottom>
                <vertical/>
                <horizontal/>
              </border>
            </x14:dxf>
          </x14:cfRule>
          <xm:sqref>Q60:R60</xm:sqref>
        </x14:conditionalFormatting>
        <x14:conditionalFormatting xmlns:xm="http://schemas.microsoft.com/office/excel/2006/main">
          <x14:cfRule type="expression" priority="3041" id="{53218113-CCB3-4635-A5AC-62772AC4C7F2}">
            <xm:f>$Z$8='Assessment Details'!$Q$23</xm:f>
            <x14:dxf>
              <font>
                <color theme="0"/>
              </font>
              <fill>
                <patternFill>
                  <bgColor theme="0"/>
                </patternFill>
              </fill>
            </x14:dxf>
          </x14:cfRule>
          <xm:sqref>X60:Y60</xm:sqref>
        </x14:conditionalFormatting>
        <x14:conditionalFormatting xmlns:xm="http://schemas.microsoft.com/office/excel/2006/main">
          <x14:cfRule type="expression" priority="3040" id="{4569F90B-1D29-4385-89F3-FEF7A6FF3CEB}">
            <xm:f>$Z$8='Assessment Details'!$Q$23</xm:f>
            <x14:dxf>
              <border>
                <left style="thin">
                  <color theme="0"/>
                </left>
                <right style="thin">
                  <color theme="0"/>
                </right>
                <top style="thin">
                  <color theme="0"/>
                </top>
                <bottom style="thin">
                  <color theme="0"/>
                </bottom>
                <vertical/>
                <horizontal/>
              </border>
            </x14:dxf>
          </x14:cfRule>
          <xm:sqref>X60:Y60</xm:sqref>
        </x14:conditionalFormatting>
        <x14:conditionalFormatting xmlns:xm="http://schemas.microsoft.com/office/excel/2006/main">
          <x14:cfRule type="expression" priority="3021" id="{3FE0B8C7-AF59-4BAA-8351-A2283C16C719}">
            <xm:f>$S$8='Assessment Details'!$Q$23</xm:f>
            <x14:dxf>
              <font>
                <color theme="0"/>
              </font>
              <fill>
                <patternFill>
                  <bgColor theme="0"/>
                </patternFill>
              </fill>
              <border>
                <vertical/>
                <horizontal/>
              </border>
            </x14:dxf>
          </x14:cfRule>
          <xm:sqref>Q72:R72</xm:sqref>
        </x14:conditionalFormatting>
        <x14:conditionalFormatting xmlns:xm="http://schemas.microsoft.com/office/excel/2006/main">
          <x14:cfRule type="expression" priority="3020" id="{744A8893-9FB1-48B4-81C7-A924173E43A7}">
            <xm:f>$S$8='Assessment Details'!$Q$23</xm:f>
            <x14:dxf>
              <border>
                <left style="thin">
                  <color theme="0"/>
                </left>
                <right style="thin">
                  <color theme="0"/>
                </right>
                <top style="thin">
                  <color theme="0"/>
                </top>
                <bottom style="thin">
                  <color theme="0"/>
                </bottom>
                <vertical/>
                <horizontal/>
              </border>
            </x14:dxf>
          </x14:cfRule>
          <xm:sqref>Q72:R72</xm:sqref>
        </x14:conditionalFormatting>
        <x14:conditionalFormatting xmlns:xm="http://schemas.microsoft.com/office/excel/2006/main">
          <x14:cfRule type="expression" priority="3019" id="{3397C7F4-C330-4414-AAB9-176876412400}">
            <xm:f>$Z$8='Assessment Details'!$Q$23</xm:f>
            <x14:dxf>
              <font>
                <color theme="0"/>
              </font>
              <fill>
                <patternFill>
                  <bgColor theme="0"/>
                </patternFill>
              </fill>
            </x14:dxf>
          </x14:cfRule>
          <xm:sqref>X72:Y72</xm:sqref>
        </x14:conditionalFormatting>
        <x14:conditionalFormatting xmlns:xm="http://schemas.microsoft.com/office/excel/2006/main">
          <x14:cfRule type="expression" priority="3018" id="{B5042649-6E98-49F5-9F51-BDC5603B9163}">
            <xm:f>$Z$8='Assessment Details'!$Q$23</xm:f>
            <x14:dxf>
              <border>
                <left style="thin">
                  <color theme="0"/>
                </left>
                <right style="thin">
                  <color theme="0"/>
                </right>
                <top style="thin">
                  <color theme="0"/>
                </top>
                <bottom style="thin">
                  <color theme="0"/>
                </bottom>
                <vertical/>
                <horizontal/>
              </border>
            </x14:dxf>
          </x14:cfRule>
          <xm:sqref>X72:Y72</xm:sqref>
        </x14:conditionalFormatting>
        <x14:conditionalFormatting xmlns:xm="http://schemas.microsoft.com/office/excel/2006/main">
          <x14:cfRule type="expression" priority="2999" id="{3BDE55F1-2597-4D5D-B985-F19E1B68F8B3}">
            <xm:f>$S$8='Assessment Details'!$Q$23</xm:f>
            <x14:dxf>
              <font>
                <color theme="0"/>
              </font>
              <fill>
                <patternFill>
                  <bgColor theme="0"/>
                </patternFill>
              </fill>
              <border>
                <vertical/>
                <horizontal/>
              </border>
            </x14:dxf>
          </x14:cfRule>
          <xm:sqref>Q76:R76</xm:sqref>
        </x14:conditionalFormatting>
        <x14:conditionalFormatting xmlns:xm="http://schemas.microsoft.com/office/excel/2006/main">
          <x14:cfRule type="expression" priority="2998" id="{7DB5EF78-5E1D-4CEB-B68B-36F15715CC2C}">
            <xm:f>$S$8='Assessment Details'!$Q$23</xm:f>
            <x14:dxf>
              <border>
                <left style="thin">
                  <color theme="0"/>
                </left>
                <right style="thin">
                  <color theme="0"/>
                </right>
                <top style="thin">
                  <color theme="0"/>
                </top>
                <bottom style="thin">
                  <color theme="0"/>
                </bottom>
                <vertical/>
                <horizontal/>
              </border>
            </x14:dxf>
          </x14:cfRule>
          <xm:sqref>Q76:R76</xm:sqref>
        </x14:conditionalFormatting>
        <x14:conditionalFormatting xmlns:xm="http://schemas.microsoft.com/office/excel/2006/main">
          <x14:cfRule type="expression" priority="2997" id="{B7F673B5-6598-42A2-A4AD-C77751D77902}">
            <xm:f>$Z$8='Assessment Details'!$Q$23</xm:f>
            <x14:dxf>
              <font>
                <color theme="0"/>
              </font>
              <fill>
                <patternFill>
                  <bgColor theme="0"/>
                </patternFill>
              </fill>
            </x14:dxf>
          </x14:cfRule>
          <xm:sqref>X76:Y76</xm:sqref>
        </x14:conditionalFormatting>
        <x14:conditionalFormatting xmlns:xm="http://schemas.microsoft.com/office/excel/2006/main">
          <x14:cfRule type="expression" priority="2996" id="{0D5867F6-0EAC-4D52-8C53-73D8646CD703}">
            <xm:f>$Z$8='Assessment Details'!$Q$23</xm:f>
            <x14:dxf>
              <border>
                <left style="thin">
                  <color theme="0"/>
                </left>
                <right style="thin">
                  <color theme="0"/>
                </right>
                <top style="thin">
                  <color theme="0"/>
                </top>
                <bottom style="thin">
                  <color theme="0"/>
                </bottom>
                <vertical/>
                <horizontal/>
              </border>
            </x14:dxf>
          </x14:cfRule>
          <xm:sqref>X76:Y76</xm:sqref>
        </x14:conditionalFormatting>
        <x14:conditionalFormatting xmlns:xm="http://schemas.microsoft.com/office/excel/2006/main">
          <x14:cfRule type="expression" priority="2977" id="{27B4461D-31DA-46E2-81BE-F64C43193179}">
            <xm:f>$S$8='Assessment Details'!$Q$23</xm:f>
            <x14:dxf>
              <font>
                <color theme="0"/>
              </font>
              <fill>
                <patternFill>
                  <bgColor theme="0"/>
                </patternFill>
              </fill>
              <border>
                <vertical/>
                <horizontal/>
              </border>
            </x14:dxf>
          </x14:cfRule>
          <xm:sqref>Q79:R79</xm:sqref>
        </x14:conditionalFormatting>
        <x14:conditionalFormatting xmlns:xm="http://schemas.microsoft.com/office/excel/2006/main">
          <x14:cfRule type="expression" priority="2976" id="{C7FF73EF-F8DB-4976-826A-87D01FA4BB29}">
            <xm:f>$S$8='Assessment Details'!$Q$23</xm:f>
            <x14:dxf>
              <border>
                <left style="thin">
                  <color theme="0"/>
                </left>
                <right style="thin">
                  <color theme="0"/>
                </right>
                <top style="thin">
                  <color theme="0"/>
                </top>
                <bottom style="thin">
                  <color theme="0"/>
                </bottom>
                <vertical/>
                <horizontal/>
              </border>
            </x14:dxf>
          </x14:cfRule>
          <xm:sqref>Q79:R79</xm:sqref>
        </x14:conditionalFormatting>
        <x14:conditionalFormatting xmlns:xm="http://schemas.microsoft.com/office/excel/2006/main">
          <x14:cfRule type="expression" priority="2975" id="{B65E1349-7466-4A9B-9235-ED83157FA8A1}">
            <xm:f>$Z$8='Assessment Details'!$Q$23</xm:f>
            <x14:dxf>
              <font>
                <color theme="0"/>
              </font>
              <fill>
                <patternFill>
                  <bgColor theme="0"/>
                </patternFill>
              </fill>
            </x14:dxf>
          </x14:cfRule>
          <xm:sqref>X79:Y79</xm:sqref>
        </x14:conditionalFormatting>
        <x14:conditionalFormatting xmlns:xm="http://schemas.microsoft.com/office/excel/2006/main">
          <x14:cfRule type="expression" priority="2974" id="{C3FC58F5-9EF2-45D7-9B97-0D6C18882827}">
            <xm:f>$Z$8='Assessment Details'!$Q$23</xm:f>
            <x14:dxf>
              <border>
                <left style="thin">
                  <color theme="0"/>
                </left>
                <right style="thin">
                  <color theme="0"/>
                </right>
                <top style="thin">
                  <color theme="0"/>
                </top>
                <bottom style="thin">
                  <color theme="0"/>
                </bottom>
                <vertical/>
                <horizontal/>
              </border>
            </x14:dxf>
          </x14:cfRule>
          <xm:sqref>X79:Y79</xm:sqref>
        </x14:conditionalFormatting>
        <x14:conditionalFormatting xmlns:xm="http://schemas.microsoft.com/office/excel/2006/main">
          <x14:cfRule type="expression" priority="2955" id="{1791F121-F855-4494-9F94-201AF776DAE3}">
            <xm:f>$S$8='Assessment Details'!$Q$23</xm:f>
            <x14:dxf>
              <font>
                <color theme="0"/>
              </font>
              <fill>
                <patternFill>
                  <bgColor theme="0"/>
                </patternFill>
              </fill>
              <border>
                <vertical/>
                <horizontal/>
              </border>
            </x14:dxf>
          </x14:cfRule>
          <xm:sqref>Q82:R82</xm:sqref>
        </x14:conditionalFormatting>
        <x14:conditionalFormatting xmlns:xm="http://schemas.microsoft.com/office/excel/2006/main">
          <x14:cfRule type="expression" priority="2954" id="{B3789350-608D-4237-90EF-4E4A0C1BFF10}">
            <xm:f>$S$8='Assessment Details'!$Q$23</xm:f>
            <x14:dxf>
              <border>
                <left style="thin">
                  <color theme="0"/>
                </left>
                <right style="thin">
                  <color theme="0"/>
                </right>
                <top style="thin">
                  <color theme="0"/>
                </top>
                <bottom style="thin">
                  <color theme="0"/>
                </bottom>
                <vertical/>
                <horizontal/>
              </border>
            </x14:dxf>
          </x14:cfRule>
          <xm:sqref>Q82:R82</xm:sqref>
        </x14:conditionalFormatting>
        <x14:conditionalFormatting xmlns:xm="http://schemas.microsoft.com/office/excel/2006/main">
          <x14:cfRule type="expression" priority="2953" id="{F3181B58-DA0D-4CF9-9972-76A8DCE0A3D7}">
            <xm:f>$Z$8='Assessment Details'!$Q$23</xm:f>
            <x14:dxf>
              <font>
                <color theme="0"/>
              </font>
              <fill>
                <patternFill>
                  <bgColor theme="0"/>
                </patternFill>
              </fill>
            </x14:dxf>
          </x14:cfRule>
          <xm:sqref>X82:Y82</xm:sqref>
        </x14:conditionalFormatting>
        <x14:conditionalFormatting xmlns:xm="http://schemas.microsoft.com/office/excel/2006/main">
          <x14:cfRule type="expression" priority="2952" id="{46DB8F0B-5298-45B1-98F7-C31874355151}">
            <xm:f>$Z$8='Assessment Details'!$Q$23</xm:f>
            <x14:dxf>
              <border>
                <left style="thin">
                  <color theme="0"/>
                </left>
                <right style="thin">
                  <color theme="0"/>
                </right>
                <top style="thin">
                  <color theme="0"/>
                </top>
                <bottom style="thin">
                  <color theme="0"/>
                </bottom>
                <vertical/>
                <horizontal/>
              </border>
            </x14:dxf>
          </x14:cfRule>
          <xm:sqref>X82:Y82</xm:sqref>
        </x14:conditionalFormatting>
        <x14:conditionalFormatting xmlns:xm="http://schemas.microsoft.com/office/excel/2006/main">
          <x14:cfRule type="expression" priority="2933" id="{F952D6D0-8EF4-4150-B3DA-A068385BB65C}">
            <xm:f>$S$8='Assessment Details'!$Q$23</xm:f>
            <x14:dxf>
              <font>
                <color theme="0"/>
              </font>
              <fill>
                <patternFill>
                  <bgColor theme="0"/>
                </patternFill>
              </fill>
              <border>
                <vertical/>
                <horizontal/>
              </border>
            </x14:dxf>
          </x14:cfRule>
          <xm:sqref>Q86:R86</xm:sqref>
        </x14:conditionalFormatting>
        <x14:conditionalFormatting xmlns:xm="http://schemas.microsoft.com/office/excel/2006/main">
          <x14:cfRule type="expression" priority="2932" id="{287A3A72-DEEE-4118-9033-6C383B62C6E2}">
            <xm:f>$S$8='Assessment Details'!$Q$23</xm:f>
            <x14:dxf>
              <border>
                <left style="thin">
                  <color theme="0"/>
                </left>
                <right style="thin">
                  <color theme="0"/>
                </right>
                <top style="thin">
                  <color theme="0"/>
                </top>
                <bottom style="thin">
                  <color theme="0"/>
                </bottom>
                <vertical/>
                <horizontal/>
              </border>
            </x14:dxf>
          </x14:cfRule>
          <xm:sqref>Q86:R86</xm:sqref>
        </x14:conditionalFormatting>
        <x14:conditionalFormatting xmlns:xm="http://schemas.microsoft.com/office/excel/2006/main">
          <x14:cfRule type="expression" priority="2931" id="{DEB80DAB-C395-4829-BA97-C8638C1E32C0}">
            <xm:f>$Z$8='Assessment Details'!$Q$23</xm:f>
            <x14:dxf>
              <font>
                <color theme="0"/>
              </font>
              <fill>
                <patternFill>
                  <bgColor theme="0"/>
                </patternFill>
              </fill>
            </x14:dxf>
          </x14:cfRule>
          <xm:sqref>X86:Y86</xm:sqref>
        </x14:conditionalFormatting>
        <x14:conditionalFormatting xmlns:xm="http://schemas.microsoft.com/office/excel/2006/main">
          <x14:cfRule type="expression" priority="2930" id="{F4B7C9CF-0F1F-4DA8-A30D-E53E19BC3410}">
            <xm:f>$Z$8='Assessment Details'!$Q$23</xm:f>
            <x14:dxf>
              <border>
                <left style="thin">
                  <color theme="0"/>
                </left>
                <right style="thin">
                  <color theme="0"/>
                </right>
                <top style="thin">
                  <color theme="0"/>
                </top>
                <bottom style="thin">
                  <color theme="0"/>
                </bottom>
                <vertical/>
                <horizontal/>
              </border>
            </x14:dxf>
          </x14:cfRule>
          <xm:sqref>X86:Y86</xm:sqref>
        </x14:conditionalFormatting>
        <x14:conditionalFormatting xmlns:xm="http://schemas.microsoft.com/office/excel/2006/main">
          <x14:cfRule type="expression" priority="2911" id="{961D8DA4-5850-4767-83A9-6460C9102A92}">
            <xm:f>$S$8='Assessment Details'!$Q$23</xm:f>
            <x14:dxf>
              <font>
                <color theme="0"/>
              </font>
              <fill>
                <patternFill>
                  <bgColor theme="0"/>
                </patternFill>
              </fill>
              <border>
                <vertical/>
                <horizontal/>
              </border>
            </x14:dxf>
          </x14:cfRule>
          <xm:sqref>Q89:R89</xm:sqref>
        </x14:conditionalFormatting>
        <x14:conditionalFormatting xmlns:xm="http://schemas.microsoft.com/office/excel/2006/main">
          <x14:cfRule type="expression" priority="2910" id="{4E4153D7-585D-4229-8AF6-15FFFA5E89ED}">
            <xm:f>$S$8='Assessment Details'!$Q$23</xm:f>
            <x14:dxf>
              <border>
                <left style="thin">
                  <color theme="0"/>
                </left>
                <right style="thin">
                  <color theme="0"/>
                </right>
                <top style="thin">
                  <color theme="0"/>
                </top>
                <bottom style="thin">
                  <color theme="0"/>
                </bottom>
                <vertical/>
                <horizontal/>
              </border>
            </x14:dxf>
          </x14:cfRule>
          <xm:sqref>Q89:R89</xm:sqref>
        </x14:conditionalFormatting>
        <x14:conditionalFormatting xmlns:xm="http://schemas.microsoft.com/office/excel/2006/main">
          <x14:cfRule type="expression" priority="2909" id="{546945FE-789B-4145-91AB-89AB7F5B7887}">
            <xm:f>$Z$8='Assessment Details'!$Q$23</xm:f>
            <x14:dxf>
              <font>
                <color theme="0"/>
              </font>
              <fill>
                <patternFill>
                  <bgColor theme="0"/>
                </patternFill>
              </fill>
            </x14:dxf>
          </x14:cfRule>
          <xm:sqref>X89:Y89</xm:sqref>
        </x14:conditionalFormatting>
        <x14:conditionalFormatting xmlns:xm="http://schemas.microsoft.com/office/excel/2006/main">
          <x14:cfRule type="expression" priority="2908" id="{3C90248F-3001-4846-8D99-4366E9FD0587}">
            <xm:f>$Z$8='Assessment Details'!$Q$23</xm:f>
            <x14:dxf>
              <border>
                <left style="thin">
                  <color theme="0"/>
                </left>
                <right style="thin">
                  <color theme="0"/>
                </right>
                <top style="thin">
                  <color theme="0"/>
                </top>
                <bottom style="thin">
                  <color theme="0"/>
                </bottom>
                <vertical/>
                <horizontal/>
              </border>
            </x14:dxf>
          </x14:cfRule>
          <xm:sqref>X89:Y89</xm:sqref>
        </x14:conditionalFormatting>
        <x14:conditionalFormatting xmlns:xm="http://schemas.microsoft.com/office/excel/2006/main">
          <x14:cfRule type="expression" priority="2889" id="{D62D12F7-91F5-4C33-B2F6-02E9E34F189B}">
            <xm:f>$S$8='Assessment Details'!$Q$23</xm:f>
            <x14:dxf>
              <font>
                <color theme="0"/>
              </font>
              <fill>
                <patternFill>
                  <bgColor theme="0"/>
                </patternFill>
              </fill>
              <border>
                <vertical/>
                <horizontal/>
              </border>
            </x14:dxf>
          </x14:cfRule>
          <xm:sqref>Q97:R97</xm:sqref>
        </x14:conditionalFormatting>
        <x14:conditionalFormatting xmlns:xm="http://schemas.microsoft.com/office/excel/2006/main">
          <x14:cfRule type="expression" priority="2888" id="{B31BD4B4-2ACB-4A6B-863D-A1CF793D99E5}">
            <xm:f>$S$8='Assessment Details'!$Q$23</xm:f>
            <x14:dxf>
              <border>
                <left style="thin">
                  <color theme="0"/>
                </left>
                <right style="thin">
                  <color theme="0"/>
                </right>
                <top style="thin">
                  <color theme="0"/>
                </top>
                <bottom style="thin">
                  <color theme="0"/>
                </bottom>
                <vertical/>
                <horizontal/>
              </border>
            </x14:dxf>
          </x14:cfRule>
          <xm:sqref>Q97:R97</xm:sqref>
        </x14:conditionalFormatting>
        <x14:conditionalFormatting xmlns:xm="http://schemas.microsoft.com/office/excel/2006/main">
          <x14:cfRule type="expression" priority="2887" id="{E35249D8-77AB-42D0-82D4-DF7512C38CE8}">
            <xm:f>$Z$8='Assessment Details'!$Q$23</xm:f>
            <x14:dxf>
              <font>
                <color theme="0"/>
              </font>
              <fill>
                <patternFill>
                  <bgColor theme="0"/>
                </patternFill>
              </fill>
            </x14:dxf>
          </x14:cfRule>
          <xm:sqref>X97:Y97</xm:sqref>
        </x14:conditionalFormatting>
        <x14:conditionalFormatting xmlns:xm="http://schemas.microsoft.com/office/excel/2006/main">
          <x14:cfRule type="expression" priority="2886" id="{8EBB8AC1-F587-4556-B14B-72E07A621945}">
            <xm:f>$Z$8='Assessment Details'!$Q$23</xm:f>
            <x14:dxf>
              <border>
                <left style="thin">
                  <color theme="0"/>
                </left>
                <right style="thin">
                  <color theme="0"/>
                </right>
                <top style="thin">
                  <color theme="0"/>
                </top>
                <bottom style="thin">
                  <color theme="0"/>
                </bottom>
                <vertical/>
                <horizontal/>
              </border>
            </x14:dxf>
          </x14:cfRule>
          <xm:sqref>X97:Y97</xm:sqref>
        </x14:conditionalFormatting>
        <x14:conditionalFormatting xmlns:xm="http://schemas.microsoft.com/office/excel/2006/main">
          <x14:cfRule type="expression" priority="2867" id="{36786943-CE38-4D1B-AD09-4CA0C9B83C65}">
            <xm:f>$S$8='Assessment Details'!$Q$23</xm:f>
            <x14:dxf>
              <font>
                <color theme="0"/>
              </font>
              <fill>
                <patternFill>
                  <bgColor theme="0"/>
                </patternFill>
              </fill>
              <border>
                <vertical/>
                <horizontal/>
              </border>
            </x14:dxf>
          </x14:cfRule>
          <xm:sqref>Q106:R106</xm:sqref>
        </x14:conditionalFormatting>
        <x14:conditionalFormatting xmlns:xm="http://schemas.microsoft.com/office/excel/2006/main">
          <x14:cfRule type="expression" priority="2866" id="{AFC0D760-90E6-45F2-B9D7-328784BF02BA}">
            <xm:f>$S$8='Assessment Details'!$Q$23</xm:f>
            <x14:dxf>
              <border>
                <left style="thin">
                  <color theme="0"/>
                </left>
                <right style="thin">
                  <color theme="0"/>
                </right>
                <top style="thin">
                  <color theme="0"/>
                </top>
                <bottom style="thin">
                  <color theme="0"/>
                </bottom>
                <vertical/>
                <horizontal/>
              </border>
            </x14:dxf>
          </x14:cfRule>
          <xm:sqref>Q106:R106</xm:sqref>
        </x14:conditionalFormatting>
        <x14:conditionalFormatting xmlns:xm="http://schemas.microsoft.com/office/excel/2006/main">
          <x14:cfRule type="expression" priority="2865" id="{417D4DDA-A392-4808-B513-CC41C7E21EF1}">
            <xm:f>$Z$8='Assessment Details'!$Q$23</xm:f>
            <x14:dxf>
              <font>
                <color theme="0"/>
              </font>
              <fill>
                <patternFill>
                  <bgColor theme="0"/>
                </patternFill>
              </fill>
            </x14:dxf>
          </x14:cfRule>
          <xm:sqref>X106:Y106</xm:sqref>
        </x14:conditionalFormatting>
        <x14:conditionalFormatting xmlns:xm="http://schemas.microsoft.com/office/excel/2006/main">
          <x14:cfRule type="expression" priority="2864" id="{C42CCBBD-8473-41D6-95BB-8D5DABA8313A}">
            <xm:f>$Z$8='Assessment Details'!$Q$23</xm:f>
            <x14:dxf>
              <border>
                <left style="thin">
                  <color theme="0"/>
                </left>
                <right style="thin">
                  <color theme="0"/>
                </right>
                <top style="thin">
                  <color theme="0"/>
                </top>
                <bottom style="thin">
                  <color theme="0"/>
                </bottom>
                <vertical/>
                <horizontal/>
              </border>
            </x14:dxf>
          </x14:cfRule>
          <xm:sqref>X106:Y106</xm:sqref>
        </x14:conditionalFormatting>
        <x14:conditionalFormatting xmlns:xm="http://schemas.microsoft.com/office/excel/2006/main">
          <x14:cfRule type="expression" priority="2845" id="{5B061993-778C-4B5B-86B1-6227066F6059}">
            <xm:f>$S$8='Assessment Details'!$Q$23</xm:f>
            <x14:dxf>
              <font>
                <color theme="0"/>
              </font>
              <fill>
                <patternFill>
                  <bgColor theme="0"/>
                </patternFill>
              </fill>
              <border>
                <vertical/>
                <horizontal/>
              </border>
            </x14:dxf>
          </x14:cfRule>
          <xm:sqref>Q108:R108</xm:sqref>
        </x14:conditionalFormatting>
        <x14:conditionalFormatting xmlns:xm="http://schemas.microsoft.com/office/excel/2006/main">
          <x14:cfRule type="expression" priority="2844" id="{03AC920A-5094-4B58-B6DA-BC1BAF981E69}">
            <xm:f>$S$8='Assessment Details'!$Q$23</xm:f>
            <x14:dxf>
              <border>
                <left style="thin">
                  <color theme="0"/>
                </left>
                <right style="thin">
                  <color theme="0"/>
                </right>
                <top style="thin">
                  <color theme="0"/>
                </top>
                <bottom style="thin">
                  <color theme="0"/>
                </bottom>
                <vertical/>
                <horizontal/>
              </border>
            </x14:dxf>
          </x14:cfRule>
          <xm:sqref>Q108:R108</xm:sqref>
        </x14:conditionalFormatting>
        <x14:conditionalFormatting xmlns:xm="http://schemas.microsoft.com/office/excel/2006/main">
          <x14:cfRule type="expression" priority="2843" id="{28EFAC08-546E-46CE-832C-FB1076BB4F5D}">
            <xm:f>$Z$8='Assessment Details'!$Q$23</xm:f>
            <x14:dxf>
              <font>
                <color theme="0"/>
              </font>
              <fill>
                <patternFill>
                  <bgColor theme="0"/>
                </patternFill>
              </fill>
            </x14:dxf>
          </x14:cfRule>
          <xm:sqref>X108:Y108</xm:sqref>
        </x14:conditionalFormatting>
        <x14:conditionalFormatting xmlns:xm="http://schemas.microsoft.com/office/excel/2006/main">
          <x14:cfRule type="expression" priority="2842" id="{6921AAE6-76F9-4635-9185-D50BABC080A9}">
            <xm:f>$Z$8='Assessment Details'!$Q$23</xm:f>
            <x14:dxf>
              <border>
                <left style="thin">
                  <color theme="0"/>
                </left>
                <right style="thin">
                  <color theme="0"/>
                </right>
                <top style="thin">
                  <color theme="0"/>
                </top>
                <bottom style="thin">
                  <color theme="0"/>
                </bottom>
                <vertical/>
                <horizontal/>
              </border>
            </x14:dxf>
          </x14:cfRule>
          <xm:sqref>X108:Y108</xm:sqref>
        </x14:conditionalFormatting>
        <x14:conditionalFormatting xmlns:xm="http://schemas.microsoft.com/office/excel/2006/main">
          <x14:cfRule type="expression" priority="2823" id="{D1134714-5ACA-428C-A7C1-04B0913D0057}">
            <xm:f>$S$8='Assessment Details'!$Q$23</xm:f>
            <x14:dxf>
              <font>
                <color theme="0"/>
              </font>
              <fill>
                <patternFill>
                  <bgColor theme="0"/>
                </patternFill>
              </fill>
              <border>
                <vertical/>
                <horizontal/>
              </border>
            </x14:dxf>
          </x14:cfRule>
          <xm:sqref>Q112:R112</xm:sqref>
        </x14:conditionalFormatting>
        <x14:conditionalFormatting xmlns:xm="http://schemas.microsoft.com/office/excel/2006/main">
          <x14:cfRule type="expression" priority="2822" id="{F6F43CAC-D378-472D-8061-FC179388F2A7}">
            <xm:f>$S$8='Assessment Details'!$Q$23</xm:f>
            <x14:dxf>
              <border>
                <left style="thin">
                  <color theme="0"/>
                </left>
                <right style="thin">
                  <color theme="0"/>
                </right>
                <top style="thin">
                  <color theme="0"/>
                </top>
                <bottom style="thin">
                  <color theme="0"/>
                </bottom>
                <vertical/>
                <horizontal/>
              </border>
            </x14:dxf>
          </x14:cfRule>
          <xm:sqref>Q112:R112</xm:sqref>
        </x14:conditionalFormatting>
        <x14:conditionalFormatting xmlns:xm="http://schemas.microsoft.com/office/excel/2006/main">
          <x14:cfRule type="expression" priority="2821" id="{FDA50E11-EB75-4207-BF37-71373B3B9DC8}">
            <xm:f>$Z$8='Assessment Details'!$Q$23</xm:f>
            <x14:dxf>
              <font>
                <color theme="0"/>
              </font>
              <fill>
                <patternFill>
                  <bgColor theme="0"/>
                </patternFill>
              </fill>
            </x14:dxf>
          </x14:cfRule>
          <xm:sqref>X112:Y112</xm:sqref>
        </x14:conditionalFormatting>
        <x14:conditionalFormatting xmlns:xm="http://schemas.microsoft.com/office/excel/2006/main">
          <x14:cfRule type="expression" priority="2820" id="{A7D32BE1-2414-4DC6-9E2E-B77DE8BB00BF}">
            <xm:f>$Z$8='Assessment Details'!$Q$23</xm:f>
            <x14:dxf>
              <border>
                <left style="thin">
                  <color theme="0"/>
                </left>
                <right style="thin">
                  <color theme="0"/>
                </right>
                <top style="thin">
                  <color theme="0"/>
                </top>
                <bottom style="thin">
                  <color theme="0"/>
                </bottom>
                <vertical/>
                <horizontal/>
              </border>
            </x14:dxf>
          </x14:cfRule>
          <xm:sqref>X112:Y112</xm:sqref>
        </x14:conditionalFormatting>
        <x14:conditionalFormatting xmlns:xm="http://schemas.microsoft.com/office/excel/2006/main">
          <x14:cfRule type="expression" priority="2799" id="{F824AB40-DF9B-4943-B19D-4D606A266650}">
            <xm:f>$Z$8='Assessment Details'!$Q$23</xm:f>
            <x14:dxf>
              <font>
                <color theme="0"/>
              </font>
              <fill>
                <patternFill>
                  <bgColor theme="0"/>
                </patternFill>
              </fill>
            </x14:dxf>
          </x14:cfRule>
          <xm:sqref>X121:Y121</xm:sqref>
        </x14:conditionalFormatting>
        <x14:conditionalFormatting xmlns:xm="http://schemas.microsoft.com/office/excel/2006/main">
          <x14:cfRule type="expression" priority="2798" id="{5AE4887A-853F-4A8D-9AC2-B7EBECF7FA58}">
            <xm:f>$Z$8='Assessment Details'!$Q$23</xm:f>
            <x14:dxf>
              <border>
                <left style="thin">
                  <color theme="0"/>
                </left>
                <right style="thin">
                  <color theme="0"/>
                </right>
                <top style="thin">
                  <color theme="0"/>
                </top>
                <bottom style="thin">
                  <color theme="0"/>
                </bottom>
                <vertical/>
                <horizontal/>
              </border>
            </x14:dxf>
          </x14:cfRule>
          <xm:sqref>X121:Y121</xm:sqref>
        </x14:conditionalFormatting>
        <x14:conditionalFormatting xmlns:xm="http://schemas.microsoft.com/office/excel/2006/main">
          <x14:cfRule type="expression" priority="2779" id="{B890570A-82E1-4E0D-A346-6FDDE8DEC1D0}">
            <xm:f>$S$8='Assessment Details'!$Q$23</xm:f>
            <x14:dxf>
              <font>
                <color theme="0"/>
              </font>
              <fill>
                <patternFill>
                  <bgColor theme="0"/>
                </patternFill>
              </fill>
              <border>
                <vertical/>
                <horizontal/>
              </border>
            </x14:dxf>
          </x14:cfRule>
          <xm:sqref>Q125:R125</xm:sqref>
        </x14:conditionalFormatting>
        <x14:conditionalFormatting xmlns:xm="http://schemas.microsoft.com/office/excel/2006/main">
          <x14:cfRule type="expression" priority="2778" id="{A84F30D9-9159-4D9B-A6D6-AB0A728D0FD9}">
            <xm:f>$S$8='Assessment Details'!$Q$23</xm:f>
            <x14:dxf>
              <border>
                <left style="thin">
                  <color theme="0"/>
                </left>
                <right style="thin">
                  <color theme="0"/>
                </right>
                <top style="thin">
                  <color theme="0"/>
                </top>
                <bottom style="thin">
                  <color theme="0"/>
                </bottom>
                <vertical/>
                <horizontal/>
              </border>
            </x14:dxf>
          </x14:cfRule>
          <xm:sqref>Q125:R125</xm:sqref>
        </x14:conditionalFormatting>
        <x14:conditionalFormatting xmlns:xm="http://schemas.microsoft.com/office/excel/2006/main">
          <x14:cfRule type="expression" priority="2777" id="{B373805C-9A92-487B-90FA-EA75D65B2312}">
            <xm:f>$Z$8='Assessment Details'!$Q$23</xm:f>
            <x14:dxf>
              <font>
                <color theme="0"/>
              </font>
              <fill>
                <patternFill>
                  <bgColor theme="0"/>
                </patternFill>
              </fill>
            </x14:dxf>
          </x14:cfRule>
          <xm:sqref>X125:Y125</xm:sqref>
        </x14:conditionalFormatting>
        <x14:conditionalFormatting xmlns:xm="http://schemas.microsoft.com/office/excel/2006/main">
          <x14:cfRule type="expression" priority="2776" id="{6DC4115D-2A4E-4993-AEE3-BC74E9358AE1}">
            <xm:f>$Z$8='Assessment Details'!$Q$23</xm:f>
            <x14:dxf>
              <border>
                <left style="thin">
                  <color theme="0"/>
                </left>
                <right style="thin">
                  <color theme="0"/>
                </right>
                <top style="thin">
                  <color theme="0"/>
                </top>
                <bottom style="thin">
                  <color theme="0"/>
                </bottom>
                <vertical/>
                <horizontal/>
              </border>
            </x14:dxf>
          </x14:cfRule>
          <xm:sqref>X125:Y125</xm:sqref>
        </x14:conditionalFormatting>
        <x14:conditionalFormatting xmlns:xm="http://schemas.microsoft.com/office/excel/2006/main">
          <x14:cfRule type="expression" priority="2757" id="{5B1D4D43-C3DD-4D2B-9A6A-F6209B1558D7}">
            <xm:f>$S$8='Assessment Details'!$Q$23</xm:f>
            <x14:dxf>
              <font>
                <color theme="0"/>
              </font>
              <fill>
                <patternFill>
                  <bgColor theme="0"/>
                </patternFill>
              </fill>
              <border>
                <vertical/>
                <horizontal/>
              </border>
            </x14:dxf>
          </x14:cfRule>
          <xm:sqref>Q129:R129</xm:sqref>
        </x14:conditionalFormatting>
        <x14:conditionalFormatting xmlns:xm="http://schemas.microsoft.com/office/excel/2006/main">
          <x14:cfRule type="expression" priority="2756" id="{C36D7400-7718-4831-B0EF-1BE7F85A803C}">
            <xm:f>$S$8='Assessment Details'!$Q$23</xm:f>
            <x14:dxf>
              <border>
                <left style="thin">
                  <color theme="0"/>
                </left>
                <right style="thin">
                  <color theme="0"/>
                </right>
                <top style="thin">
                  <color theme="0"/>
                </top>
                <bottom style="thin">
                  <color theme="0"/>
                </bottom>
                <vertical/>
                <horizontal/>
              </border>
            </x14:dxf>
          </x14:cfRule>
          <xm:sqref>Q129:R129</xm:sqref>
        </x14:conditionalFormatting>
        <x14:conditionalFormatting xmlns:xm="http://schemas.microsoft.com/office/excel/2006/main">
          <x14:cfRule type="expression" priority="2755" id="{D814B427-0B43-45E3-9FE3-C6F9C171A0A8}">
            <xm:f>$Z$8='Assessment Details'!$Q$23</xm:f>
            <x14:dxf>
              <font>
                <color theme="0"/>
              </font>
              <fill>
                <patternFill>
                  <bgColor theme="0"/>
                </patternFill>
              </fill>
            </x14:dxf>
          </x14:cfRule>
          <xm:sqref>X129:Y129</xm:sqref>
        </x14:conditionalFormatting>
        <x14:conditionalFormatting xmlns:xm="http://schemas.microsoft.com/office/excel/2006/main">
          <x14:cfRule type="expression" priority="2754" id="{AD74782E-F818-4E93-9877-66CD49FD1A9D}">
            <xm:f>$Z$8='Assessment Details'!$Q$23</xm:f>
            <x14:dxf>
              <border>
                <left style="thin">
                  <color theme="0"/>
                </left>
                <right style="thin">
                  <color theme="0"/>
                </right>
                <top style="thin">
                  <color theme="0"/>
                </top>
                <bottom style="thin">
                  <color theme="0"/>
                </bottom>
                <vertical/>
                <horizontal/>
              </border>
            </x14:dxf>
          </x14:cfRule>
          <xm:sqref>X129:Y129</xm:sqref>
        </x14:conditionalFormatting>
        <x14:conditionalFormatting xmlns:xm="http://schemas.microsoft.com/office/excel/2006/main">
          <x14:cfRule type="expression" priority="2735" id="{BC298DA3-0041-4003-A615-CD4D3EEDB4B6}">
            <xm:f>$S$8='Assessment Details'!$Q$23</xm:f>
            <x14:dxf>
              <font>
                <color theme="0"/>
              </font>
              <fill>
                <patternFill>
                  <bgColor theme="0"/>
                </patternFill>
              </fill>
              <border>
                <vertical/>
                <horizontal/>
              </border>
            </x14:dxf>
          </x14:cfRule>
          <xm:sqref>Q135:R135</xm:sqref>
        </x14:conditionalFormatting>
        <x14:conditionalFormatting xmlns:xm="http://schemas.microsoft.com/office/excel/2006/main">
          <x14:cfRule type="expression" priority="2734" id="{3E63224B-5F70-4FC7-A1D0-C81E47FBAF20}">
            <xm:f>$S$8='Assessment Details'!$Q$23</xm:f>
            <x14:dxf>
              <border>
                <left style="thin">
                  <color theme="0"/>
                </left>
                <right style="thin">
                  <color theme="0"/>
                </right>
                <top style="thin">
                  <color theme="0"/>
                </top>
                <bottom style="thin">
                  <color theme="0"/>
                </bottom>
                <vertical/>
                <horizontal/>
              </border>
            </x14:dxf>
          </x14:cfRule>
          <xm:sqref>Q135:R135</xm:sqref>
        </x14:conditionalFormatting>
        <x14:conditionalFormatting xmlns:xm="http://schemas.microsoft.com/office/excel/2006/main">
          <x14:cfRule type="expression" priority="2733" id="{854B2689-4B93-4F46-880E-26136D1313FF}">
            <xm:f>$Z$8='Assessment Details'!$Q$23</xm:f>
            <x14:dxf>
              <font>
                <color theme="0"/>
              </font>
              <fill>
                <patternFill>
                  <bgColor theme="0"/>
                </patternFill>
              </fill>
            </x14:dxf>
          </x14:cfRule>
          <xm:sqref>X135:Y135</xm:sqref>
        </x14:conditionalFormatting>
        <x14:conditionalFormatting xmlns:xm="http://schemas.microsoft.com/office/excel/2006/main">
          <x14:cfRule type="expression" priority="2732" id="{FCDA394D-E604-49EE-BC6B-CBA163DD9F4F}">
            <xm:f>$Z$8='Assessment Details'!$Q$23</xm:f>
            <x14:dxf>
              <border>
                <left style="thin">
                  <color theme="0"/>
                </left>
                <right style="thin">
                  <color theme="0"/>
                </right>
                <top style="thin">
                  <color theme="0"/>
                </top>
                <bottom style="thin">
                  <color theme="0"/>
                </bottom>
                <vertical/>
                <horizontal/>
              </border>
            </x14:dxf>
          </x14:cfRule>
          <xm:sqref>X135:Y135</xm:sqref>
        </x14:conditionalFormatting>
        <x14:conditionalFormatting xmlns:xm="http://schemas.microsoft.com/office/excel/2006/main">
          <x14:cfRule type="expression" priority="2713" id="{93E5126A-40F2-49DB-A53F-8972F416241F}">
            <xm:f>$S$8='Assessment Details'!$Q$23</xm:f>
            <x14:dxf>
              <font>
                <color theme="0"/>
              </font>
              <fill>
                <patternFill>
                  <bgColor theme="0"/>
                </patternFill>
              </fill>
              <border>
                <vertical/>
                <horizontal/>
              </border>
            </x14:dxf>
          </x14:cfRule>
          <xm:sqref>Q140:R140</xm:sqref>
        </x14:conditionalFormatting>
        <x14:conditionalFormatting xmlns:xm="http://schemas.microsoft.com/office/excel/2006/main">
          <x14:cfRule type="expression" priority="2712" id="{FC11078C-CDB7-42EA-92FE-8C46E699C37D}">
            <xm:f>$S$8='Assessment Details'!$Q$23</xm:f>
            <x14:dxf>
              <border>
                <left style="thin">
                  <color theme="0"/>
                </left>
                <right style="thin">
                  <color theme="0"/>
                </right>
                <top style="thin">
                  <color theme="0"/>
                </top>
                <bottom style="thin">
                  <color theme="0"/>
                </bottom>
                <vertical/>
                <horizontal/>
              </border>
            </x14:dxf>
          </x14:cfRule>
          <xm:sqref>Q140:R140</xm:sqref>
        </x14:conditionalFormatting>
        <x14:conditionalFormatting xmlns:xm="http://schemas.microsoft.com/office/excel/2006/main">
          <x14:cfRule type="expression" priority="2711" id="{67B61D2D-2974-491A-9C65-BCD655ABDB99}">
            <xm:f>$Z$8='Assessment Details'!$Q$23</xm:f>
            <x14:dxf>
              <font>
                <color theme="0"/>
              </font>
              <fill>
                <patternFill>
                  <bgColor theme="0"/>
                </patternFill>
              </fill>
            </x14:dxf>
          </x14:cfRule>
          <xm:sqref>X140:Y140</xm:sqref>
        </x14:conditionalFormatting>
        <x14:conditionalFormatting xmlns:xm="http://schemas.microsoft.com/office/excel/2006/main">
          <x14:cfRule type="expression" priority="2710" id="{377885CD-D487-4C27-B56A-50673BAAB469}">
            <xm:f>$Z$8='Assessment Details'!$Q$23</xm:f>
            <x14:dxf>
              <border>
                <left style="thin">
                  <color theme="0"/>
                </left>
                <right style="thin">
                  <color theme="0"/>
                </right>
                <top style="thin">
                  <color theme="0"/>
                </top>
                <bottom style="thin">
                  <color theme="0"/>
                </bottom>
                <vertical/>
                <horizontal/>
              </border>
            </x14:dxf>
          </x14:cfRule>
          <xm:sqref>X140:Y140</xm:sqref>
        </x14:conditionalFormatting>
        <x14:conditionalFormatting xmlns:xm="http://schemas.microsoft.com/office/excel/2006/main">
          <x14:cfRule type="expression" priority="2691" id="{0EBD06D7-B286-47FC-BCEB-7DE0EBE21459}">
            <xm:f>$S$8='Assessment Details'!$Q$23</xm:f>
            <x14:dxf>
              <font>
                <color theme="0"/>
              </font>
              <fill>
                <patternFill>
                  <bgColor theme="0"/>
                </patternFill>
              </fill>
              <border>
                <vertical/>
                <horizontal/>
              </border>
            </x14:dxf>
          </x14:cfRule>
          <xm:sqref>Q153:R153</xm:sqref>
        </x14:conditionalFormatting>
        <x14:conditionalFormatting xmlns:xm="http://schemas.microsoft.com/office/excel/2006/main">
          <x14:cfRule type="expression" priority="2690" id="{4A947A86-3930-4E01-91A9-88AAA98761F4}">
            <xm:f>$S$8='Assessment Details'!$Q$23</xm:f>
            <x14:dxf>
              <border>
                <left style="thin">
                  <color theme="0"/>
                </left>
                <right style="thin">
                  <color theme="0"/>
                </right>
                <top style="thin">
                  <color theme="0"/>
                </top>
                <bottom style="thin">
                  <color theme="0"/>
                </bottom>
                <vertical/>
                <horizontal/>
              </border>
            </x14:dxf>
          </x14:cfRule>
          <xm:sqref>Q153:R153</xm:sqref>
        </x14:conditionalFormatting>
        <x14:conditionalFormatting xmlns:xm="http://schemas.microsoft.com/office/excel/2006/main">
          <x14:cfRule type="expression" priority="2689" id="{CE9D4D00-9F28-4C90-BFDC-AF0BB4878934}">
            <xm:f>$Z$8='Assessment Details'!$Q$23</xm:f>
            <x14:dxf>
              <font>
                <color theme="0"/>
              </font>
              <fill>
                <patternFill>
                  <bgColor theme="0"/>
                </patternFill>
              </fill>
            </x14:dxf>
          </x14:cfRule>
          <xm:sqref>X153:Y153</xm:sqref>
        </x14:conditionalFormatting>
        <x14:conditionalFormatting xmlns:xm="http://schemas.microsoft.com/office/excel/2006/main">
          <x14:cfRule type="expression" priority="2688" id="{9F7F0A66-7030-4DBA-914D-44DAE2A50D67}">
            <xm:f>$Z$8='Assessment Details'!$Q$23</xm:f>
            <x14:dxf>
              <border>
                <left style="thin">
                  <color theme="0"/>
                </left>
                <right style="thin">
                  <color theme="0"/>
                </right>
                <top style="thin">
                  <color theme="0"/>
                </top>
                <bottom style="thin">
                  <color theme="0"/>
                </bottom>
                <vertical/>
                <horizontal/>
              </border>
            </x14:dxf>
          </x14:cfRule>
          <xm:sqref>X153:Y153</xm:sqref>
        </x14:conditionalFormatting>
        <x14:conditionalFormatting xmlns:xm="http://schemas.microsoft.com/office/excel/2006/main">
          <x14:cfRule type="expression" priority="2669" id="{C699121D-3149-497E-A3AB-E5903A92AE07}">
            <xm:f>$S$8='Assessment Details'!$Q$23</xm:f>
            <x14:dxf>
              <font>
                <color theme="0"/>
              </font>
              <fill>
                <patternFill>
                  <bgColor theme="0"/>
                </patternFill>
              </fill>
              <border>
                <vertical/>
                <horizontal/>
              </border>
            </x14:dxf>
          </x14:cfRule>
          <xm:sqref>Q155:R155</xm:sqref>
        </x14:conditionalFormatting>
        <x14:conditionalFormatting xmlns:xm="http://schemas.microsoft.com/office/excel/2006/main">
          <x14:cfRule type="expression" priority="2668" id="{401463BB-30CD-45BB-8394-CDB65C151285}">
            <xm:f>$S$8='Assessment Details'!$Q$23</xm:f>
            <x14:dxf>
              <border>
                <left style="thin">
                  <color theme="0"/>
                </left>
                <right style="thin">
                  <color theme="0"/>
                </right>
                <top style="thin">
                  <color theme="0"/>
                </top>
                <bottom style="thin">
                  <color theme="0"/>
                </bottom>
                <vertical/>
                <horizontal/>
              </border>
            </x14:dxf>
          </x14:cfRule>
          <xm:sqref>Q155:R155</xm:sqref>
        </x14:conditionalFormatting>
        <x14:conditionalFormatting xmlns:xm="http://schemas.microsoft.com/office/excel/2006/main">
          <x14:cfRule type="expression" priority="2667" id="{438AA3BA-C3CF-426C-B4DE-E5D8AB3405FA}">
            <xm:f>$Z$8='Assessment Details'!$Q$23</xm:f>
            <x14:dxf>
              <font>
                <color theme="0"/>
              </font>
              <fill>
                <patternFill>
                  <bgColor theme="0"/>
                </patternFill>
              </fill>
            </x14:dxf>
          </x14:cfRule>
          <xm:sqref>X155:Y155</xm:sqref>
        </x14:conditionalFormatting>
        <x14:conditionalFormatting xmlns:xm="http://schemas.microsoft.com/office/excel/2006/main">
          <x14:cfRule type="expression" priority="2666" id="{E2AC534E-4298-4E4C-AA35-BFF073C12C54}">
            <xm:f>$Z$8='Assessment Details'!$Q$23</xm:f>
            <x14:dxf>
              <border>
                <left style="thin">
                  <color theme="0"/>
                </left>
                <right style="thin">
                  <color theme="0"/>
                </right>
                <top style="thin">
                  <color theme="0"/>
                </top>
                <bottom style="thin">
                  <color theme="0"/>
                </bottom>
                <vertical/>
                <horizontal/>
              </border>
            </x14:dxf>
          </x14:cfRule>
          <xm:sqref>X155:Y155</xm:sqref>
        </x14:conditionalFormatting>
        <x14:conditionalFormatting xmlns:xm="http://schemas.microsoft.com/office/excel/2006/main">
          <x14:cfRule type="expression" priority="2647" id="{58EA91C2-F4B4-4BCD-A5AC-E3CB8D00696E}">
            <xm:f>$S$8='Assessment Details'!$Q$23</xm:f>
            <x14:dxf>
              <font>
                <color theme="0"/>
              </font>
              <fill>
                <patternFill>
                  <bgColor theme="0"/>
                </patternFill>
              </fill>
              <border>
                <vertical/>
                <horizontal/>
              </border>
            </x14:dxf>
          </x14:cfRule>
          <xm:sqref>Q157:R157</xm:sqref>
        </x14:conditionalFormatting>
        <x14:conditionalFormatting xmlns:xm="http://schemas.microsoft.com/office/excel/2006/main">
          <x14:cfRule type="expression" priority="2646" id="{D6696C5C-DACD-4563-9702-21A1ADF72218}">
            <xm:f>$S$8='Assessment Details'!$Q$23</xm:f>
            <x14:dxf>
              <border>
                <left style="thin">
                  <color theme="0"/>
                </left>
                <right style="thin">
                  <color theme="0"/>
                </right>
                <top style="thin">
                  <color theme="0"/>
                </top>
                <bottom style="thin">
                  <color theme="0"/>
                </bottom>
                <vertical/>
                <horizontal/>
              </border>
            </x14:dxf>
          </x14:cfRule>
          <xm:sqref>Q157:R157</xm:sqref>
        </x14:conditionalFormatting>
        <x14:conditionalFormatting xmlns:xm="http://schemas.microsoft.com/office/excel/2006/main">
          <x14:cfRule type="expression" priority="2645" id="{0A624E6F-D2F5-466B-AE49-70D18C402F62}">
            <xm:f>$Z$8='Assessment Details'!$Q$23</xm:f>
            <x14:dxf>
              <font>
                <color theme="0"/>
              </font>
              <fill>
                <patternFill>
                  <bgColor theme="0"/>
                </patternFill>
              </fill>
            </x14:dxf>
          </x14:cfRule>
          <xm:sqref>X157:Y157</xm:sqref>
        </x14:conditionalFormatting>
        <x14:conditionalFormatting xmlns:xm="http://schemas.microsoft.com/office/excel/2006/main">
          <x14:cfRule type="expression" priority="2644" id="{D2605DE7-EB0B-41EE-9545-33B6F3D412FE}">
            <xm:f>$Z$8='Assessment Details'!$Q$23</xm:f>
            <x14:dxf>
              <border>
                <left style="thin">
                  <color theme="0"/>
                </left>
                <right style="thin">
                  <color theme="0"/>
                </right>
                <top style="thin">
                  <color theme="0"/>
                </top>
                <bottom style="thin">
                  <color theme="0"/>
                </bottom>
                <vertical/>
                <horizontal/>
              </border>
            </x14:dxf>
          </x14:cfRule>
          <xm:sqref>X157:Y157</xm:sqref>
        </x14:conditionalFormatting>
        <x14:conditionalFormatting xmlns:xm="http://schemas.microsoft.com/office/excel/2006/main">
          <x14:cfRule type="expression" priority="2625" id="{5085BEE2-F280-4D62-BA43-B519A5B40CF4}">
            <xm:f>$S$8='Assessment Details'!$Q$23</xm:f>
            <x14:dxf>
              <font>
                <color theme="0"/>
              </font>
              <fill>
                <patternFill>
                  <bgColor theme="0"/>
                </patternFill>
              </fill>
              <border>
                <vertical/>
                <horizontal/>
              </border>
            </x14:dxf>
          </x14:cfRule>
          <xm:sqref>Q165:R165</xm:sqref>
        </x14:conditionalFormatting>
        <x14:conditionalFormatting xmlns:xm="http://schemas.microsoft.com/office/excel/2006/main">
          <x14:cfRule type="expression" priority="2624" id="{79EB9484-1E31-4C0F-ADDB-0CFCD9441EE2}">
            <xm:f>$S$8='Assessment Details'!$Q$23</xm:f>
            <x14:dxf>
              <border>
                <left style="thin">
                  <color theme="0"/>
                </left>
                <right style="thin">
                  <color theme="0"/>
                </right>
                <top style="thin">
                  <color theme="0"/>
                </top>
                <bottom style="thin">
                  <color theme="0"/>
                </bottom>
                <vertical/>
                <horizontal/>
              </border>
            </x14:dxf>
          </x14:cfRule>
          <xm:sqref>Q165:R165</xm:sqref>
        </x14:conditionalFormatting>
        <x14:conditionalFormatting xmlns:xm="http://schemas.microsoft.com/office/excel/2006/main">
          <x14:cfRule type="expression" priority="2623" id="{5D79AE54-4DC9-4DCA-884C-42876EAB53E2}">
            <xm:f>$Z$8='Assessment Details'!$Q$23</xm:f>
            <x14:dxf>
              <font>
                <color theme="0"/>
              </font>
              <fill>
                <patternFill>
                  <bgColor theme="0"/>
                </patternFill>
              </fill>
            </x14:dxf>
          </x14:cfRule>
          <xm:sqref>X165:Y165</xm:sqref>
        </x14:conditionalFormatting>
        <x14:conditionalFormatting xmlns:xm="http://schemas.microsoft.com/office/excel/2006/main">
          <x14:cfRule type="expression" priority="2622" id="{642EF19E-4E9F-444D-BBE2-E38D5C87ADE9}">
            <xm:f>$Z$8='Assessment Details'!$Q$23</xm:f>
            <x14:dxf>
              <border>
                <left style="thin">
                  <color theme="0"/>
                </left>
                <right style="thin">
                  <color theme="0"/>
                </right>
                <top style="thin">
                  <color theme="0"/>
                </top>
                <bottom style="thin">
                  <color theme="0"/>
                </bottom>
                <vertical/>
                <horizontal/>
              </border>
            </x14:dxf>
          </x14:cfRule>
          <xm:sqref>X165:Y165</xm:sqref>
        </x14:conditionalFormatting>
        <x14:conditionalFormatting xmlns:xm="http://schemas.microsoft.com/office/excel/2006/main">
          <x14:cfRule type="expression" priority="2603" id="{DE222025-3144-4E99-8DE8-CC9624D26BAD}">
            <xm:f>$S$8='Assessment Details'!$Q$23</xm:f>
            <x14:dxf>
              <font>
                <color theme="0"/>
              </font>
              <fill>
                <patternFill>
                  <bgColor theme="0"/>
                </patternFill>
              </fill>
              <border>
                <vertical/>
                <horizontal/>
              </border>
            </x14:dxf>
          </x14:cfRule>
          <xm:sqref>Q169:R169</xm:sqref>
        </x14:conditionalFormatting>
        <x14:conditionalFormatting xmlns:xm="http://schemas.microsoft.com/office/excel/2006/main">
          <x14:cfRule type="expression" priority="2602" id="{86289F27-85BD-4061-BB4F-ADFE71F58198}">
            <xm:f>$S$8='Assessment Details'!$Q$23</xm:f>
            <x14:dxf>
              <border>
                <left style="thin">
                  <color theme="0"/>
                </left>
                <right style="thin">
                  <color theme="0"/>
                </right>
                <top style="thin">
                  <color theme="0"/>
                </top>
                <bottom style="thin">
                  <color theme="0"/>
                </bottom>
                <vertical/>
                <horizontal/>
              </border>
            </x14:dxf>
          </x14:cfRule>
          <xm:sqref>Q169:R169</xm:sqref>
        </x14:conditionalFormatting>
        <x14:conditionalFormatting xmlns:xm="http://schemas.microsoft.com/office/excel/2006/main">
          <x14:cfRule type="expression" priority="2601" id="{F6BF0F31-291D-4A06-82A1-79D9EE908212}">
            <xm:f>$Z$8='Assessment Details'!$Q$23</xm:f>
            <x14:dxf>
              <font>
                <color theme="0"/>
              </font>
              <fill>
                <patternFill>
                  <bgColor theme="0"/>
                </patternFill>
              </fill>
            </x14:dxf>
          </x14:cfRule>
          <xm:sqref>X169:Y169</xm:sqref>
        </x14:conditionalFormatting>
        <x14:conditionalFormatting xmlns:xm="http://schemas.microsoft.com/office/excel/2006/main">
          <x14:cfRule type="expression" priority="2600" id="{A92F8E34-C6A8-4C61-8472-430C9B307BDD}">
            <xm:f>$Z$8='Assessment Details'!$Q$23</xm:f>
            <x14:dxf>
              <border>
                <left style="thin">
                  <color theme="0"/>
                </left>
                <right style="thin">
                  <color theme="0"/>
                </right>
                <top style="thin">
                  <color theme="0"/>
                </top>
                <bottom style="thin">
                  <color theme="0"/>
                </bottom>
                <vertical/>
                <horizontal/>
              </border>
            </x14:dxf>
          </x14:cfRule>
          <xm:sqref>X169:Y169</xm:sqref>
        </x14:conditionalFormatting>
        <x14:conditionalFormatting xmlns:xm="http://schemas.microsoft.com/office/excel/2006/main">
          <x14:cfRule type="expression" priority="2581" id="{03F5AC57-CEE1-4E27-BDCA-705C92F9C04A}">
            <xm:f>$S$8='Assessment Details'!$Q$23</xm:f>
            <x14:dxf>
              <font>
                <color theme="0"/>
              </font>
              <fill>
                <patternFill>
                  <bgColor theme="0"/>
                </patternFill>
              </fill>
              <border>
                <vertical/>
                <horizontal/>
              </border>
            </x14:dxf>
          </x14:cfRule>
          <xm:sqref>Q172:R172</xm:sqref>
        </x14:conditionalFormatting>
        <x14:conditionalFormatting xmlns:xm="http://schemas.microsoft.com/office/excel/2006/main">
          <x14:cfRule type="expression" priority="2580" id="{24796940-0E34-4F8C-B9C3-C0BD5B9D2DE9}">
            <xm:f>$S$8='Assessment Details'!$Q$23</xm:f>
            <x14:dxf>
              <border>
                <left style="thin">
                  <color theme="0"/>
                </left>
                <right style="thin">
                  <color theme="0"/>
                </right>
                <top style="thin">
                  <color theme="0"/>
                </top>
                <bottom style="thin">
                  <color theme="0"/>
                </bottom>
                <vertical/>
                <horizontal/>
              </border>
            </x14:dxf>
          </x14:cfRule>
          <xm:sqref>Q172:R172</xm:sqref>
        </x14:conditionalFormatting>
        <x14:conditionalFormatting xmlns:xm="http://schemas.microsoft.com/office/excel/2006/main">
          <x14:cfRule type="expression" priority="2579" id="{3ACC2B89-684A-484D-B203-D284673DE8A7}">
            <xm:f>$Z$8='Assessment Details'!$Q$23</xm:f>
            <x14:dxf>
              <font>
                <color theme="0"/>
              </font>
              <fill>
                <patternFill>
                  <bgColor theme="0"/>
                </patternFill>
              </fill>
            </x14:dxf>
          </x14:cfRule>
          <xm:sqref>X172:Y172</xm:sqref>
        </x14:conditionalFormatting>
        <x14:conditionalFormatting xmlns:xm="http://schemas.microsoft.com/office/excel/2006/main">
          <x14:cfRule type="expression" priority="2578" id="{D473DCAE-7B09-4CAA-B8DC-5EF1853C823C}">
            <xm:f>$Z$8='Assessment Details'!$Q$23</xm:f>
            <x14:dxf>
              <border>
                <left style="thin">
                  <color theme="0"/>
                </left>
                <right style="thin">
                  <color theme="0"/>
                </right>
                <top style="thin">
                  <color theme="0"/>
                </top>
                <bottom style="thin">
                  <color theme="0"/>
                </bottom>
                <vertical/>
                <horizontal/>
              </border>
            </x14:dxf>
          </x14:cfRule>
          <xm:sqref>X172:Y172</xm:sqref>
        </x14:conditionalFormatting>
        <x14:conditionalFormatting xmlns:xm="http://schemas.microsoft.com/office/excel/2006/main">
          <x14:cfRule type="expression" priority="2559" id="{BB47B5EE-B404-4459-A9DC-7A8F921C40F1}">
            <xm:f>$S$8='Assessment Details'!$Q$23</xm:f>
            <x14:dxf>
              <font>
                <color theme="0"/>
              </font>
              <fill>
                <patternFill>
                  <bgColor theme="0"/>
                </patternFill>
              </fill>
              <border>
                <vertical/>
                <horizontal/>
              </border>
            </x14:dxf>
          </x14:cfRule>
          <xm:sqref>Q176:R176</xm:sqref>
        </x14:conditionalFormatting>
        <x14:conditionalFormatting xmlns:xm="http://schemas.microsoft.com/office/excel/2006/main">
          <x14:cfRule type="expression" priority="2558" id="{1AE651B5-4783-41FA-8F61-2B060157B0C2}">
            <xm:f>$S$8='Assessment Details'!$Q$23</xm:f>
            <x14:dxf>
              <border>
                <left style="thin">
                  <color theme="0"/>
                </left>
                <right style="thin">
                  <color theme="0"/>
                </right>
                <top style="thin">
                  <color theme="0"/>
                </top>
                <bottom style="thin">
                  <color theme="0"/>
                </bottom>
                <vertical/>
                <horizontal/>
              </border>
            </x14:dxf>
          </x14:cfRule>
          <xm:sqref>Q176:R176</xm:sqref>
        </x14:conditionalFormatting>
        <x14:conditionalFormatting xmlns:xm="http://schemas.microsoft.com/office/excel/2006/main">
          <x14:cfRule type="expression" priority="2557" id="{DED99014-4D9C-439F-9304-06140F0CD019}">
            <xm:f>$Z$8='Assessment Details'!$Q$23</xm:f>
            <x14:dxf>
              <font>
                <color theme="0"/>
              </font>
              <fill>
                <patternFill>
                  <bgColor theme="0"/>
                </patternFill>
              </fill>
            </x14:dxf>
          </x14:cfRule>
          <xm:sqref>X176:Y176</xm:sqref>
        </x14:conditionalFormatting>
        <x14:conditionalFormatting xmlns:xm="http://schemas.microsoft.com/office/excel/2006/main">
          <x14:cfRule type="expression" priority="2556" id="{13C7E632-2E9A-469D-944E-F005BDAA0175}">
            <xm:f>$Z$8='Assessment Details'!$Q$23</xm:f>
            <x14:dxf>
              <border>
                <left style="thin">
                  <color theme="0"/>
                </left>
                <right style="thin">
                  <color theme="0"/>
                </right>
                <top style="thin">
                  <color theme="0"/>
                </top>
                <bottom style="thin">
                  <color theme="0"/>
                </bottom>
                <vertical/>
                <horizontal/>
              </border>
            </x14:dxf>
          </x14:cfRule>
          <xm:sqref>X176:Y176</xm:sqref>
        </x14:conditionalFormatting>
        <x14:conditionalFormatting xmlns:xm="http://schemas.microsoft.com/office/excel/2006/main">
          <x14:cfRule type="expression" priority="2537" id="{FF3D70A3-E2F0-4011-AF6E-88CB2A9F4AB2}">
            <xm:f>$S$8='Assessment Details'!$Q$23</xm:f>
            <x14:dxf>
              <font>
                <color theme="0"/>
              </font>
              <fill>
                <patternFill>
                  <bgColor theme="0"/>
                </patternFill>
              </fill>
              <border>
                <vertical/>
                <horizontal/>
              </border>
            </x14:dxf>
          </x14:cfRule>
          <xm:sqref>Q180:R180</xm:sqref>
        </x14:conditionalFormatting>
        <x14:conditionalFormatting xmlns:xm="http://schemas.microsoft.com/office/excel/2006/main">
          <x14:cfRule type="expression" priority="2536" id="{0AE6CF74-4BA9-4FC0-8C0E-F1B16B0742DE}">
            <xm:f>$S$8='Assessment Details'!$Q$23</xm:f>
            <x14:dxf>
              <border>
                <left style="thin">
                  <color theme="0"/>
                </left>
                <right style="thin">
                  <color theme="0"/>
                </right>
                <top style="thin">
                  <color theme="0"/>
                </top>
                <bottom style="thin">
                  <color theme="0"/>
                </bottom>
                <vertical/>
                <horizontal/>
              </border>
            </x14:dxf>
          </x14:cfRule>
          <xm:sqref>Q180:R180</xm:sqref>
        </x14:conditionalFormatting>
        <x14:conditionalFormatting xmlns:xm="http://schemas.microsoft.com/office/excel/2006/main">
          <x14:cfRule type="expression" priority="2535" id="{3D558B44-BBCE-494B-81ED-AB3925E6A5DA}">
            <xm:f>$Z$8='Assessment Details'!$Q$23</xm:f>
            <x14:dxf>
              <font>
                <color theme="0"/>
              </font>
              <fill>
                <patternFill>
                  <bgColor theme="0"/>
                </patternFill>
              </fill>
            </x14:dxf>
          </x14:cfRule>
          <xm:sqref>X180:Y180</xm:sqref>
        </x14:conditionalFormatting>
        <x14:conditionalFormatting xmlns:xm="http://schemas.microsoft.com/office/excel/2006/main">
          <x14:cfRule type="expression" priority="2534" id="{84D843F5-91B5-42FA-A026-5431C2C7E947}">
            <xm:f>$Z$8='Assessment Details'!$Q$23</xm:f>
            <x14:dxf>
              <border>
                <left style="thin">
                  <color theme="0"/>
                </left>
                <right style="thin">
                  <color theme="0"/>
                </right>
                <top style="thin">
                  <color theme="0"/>
                </top>
                <bottom style="thin">
                  <color theme="0"/>
                </bottom>
                <vertical/>
                <horizontal/>
              </border>
            </x14:dxf>
          </x14:cfRule>
          <xm:sqref>X180:Y180</xm:sqref>
        </x14:conditionalFormatting>
        <x14:conditionalFormatting xmlns:xm="http://schemas.microsoft.com/office/excel/2006/main">
          <x14:cfRule type="expression" priority="2515" id="{A5C32B32-ED52-48B4-9A25-BD04F4A1AB84}">
            <xm:f>$S$8='Assessment Details'!$Q$23</xm:f>
            <x14:dxf>
              <font>
                <color theme="0"/>
              </font>
              <fill>
                <patternFill>
                  <bgColor theme="0"/>
                </patternFill>
              </fill>
              <border>
                <vertical/>
                <horizontal/>
              </border>
            </x14:dxf>
          </x14:cfRule>
          <xm:sqref>Q182:R182</xm:sqref>
        </x14:conditionalFormatting>
        <x14:conditionalFormatting xmlns:xm="http://schemas.microsoft.com/office/excel/2006/main">
          <x14:cfRule type="expression" priority="2514" id="{D0ABD19C-8EA4-4E11-9305-339EFFA32B58}">
            <xm:f>$S$8='Assessment Details'!$Q$23</xm:f>
            <x14:dxf>
              <border>
                <left style="thin">
                  <color theme="0"/>
                </left>
                <right style="thin">
                  <color theme="0"/>
                </right>
                <top style="thin">
                  <color theme="0"/>
                </top>
                <bottom style="thin">
                  <color theme="0"/>
                </bottom>
                <vertical/>
                <horizontal/>
              </border>
            </x14:dxf>
          </x14:cfRule>
          <xm:sqref>Q182:R182</xm:sqref>
        </x14:conditionalFormatting>
        <x14:conditionalFormatting xmlns:xm="http://schemas.microsoft.com/office/excel/2006/main">
          <x14:cfRule type="expression" priority="2513" id="{BA58B041-1F21-4BB2-8FF2-1A88031ECC97}">
            <xm:f>$Z$8='Assessment Details'!$Q$23</xm:f>
            <x14:dxf>
              <font>
                <color theme="0"/>
              </font>
              <fill>
                <patternFill>
                  <bgColor theme="0"/>
                </patternFill>
              </fill>
            </x14:dxf>
          </x14:cfRule>
          <xm:sqref>X182:Y182</xm:sqref>
        </x14:conditionalFormatting>
        <x14:conditionalFormatting xmlns:xm="http://schemas.microsoft.com/office/excel/2006/main">
          <x14:cfRule type="expression" priority="2512" id="{FFD8CAF1-C0B2-45CA-86ED-DA08BCA48491}">
            <xm:f>$Z$8='Assessment Details'!$Q$23</xm:f>
            <x14:dxf>
              <border>
                <left style="thin">
                  <color theme="0"/>
                </left>
                <right style="thin">
                  <color theme="0"/>
                </right>
                <top style="thin">
                  <color theme="0"/>
                </top>
                <bottom style="thin">
                  <color theme="0"/>
                </bottom>
                <vertical/>
                <horizontal/>
              </border>
            </x14:dxf>
          </x14:cfRule>
          <xm:sqref>X182:Y182</xm:sqref>
        </x14:conditionalFormatting>
        <x14:conditionalFormatting xmlns:xm="http://schemas.microsoft.com/office/excel/2006/main">
          <x14:cfRule type="expression" priority="2493" id="{A5CBEBC7-91C4-4779-A03E-ED4532776B98}">
            <xm:f>$S$8='Assessment Details'!$Q$23</xm:f>
            <x14:dxf>
              <font>
                <color theme="0"/>
              </font>
              <fill>
                <patternFill>
                  <bgColor theme="0"/>
                </patternFill>
              </fill>
              <border>
                <vertical/>
                <horizontal/>
              </border>
            </x14:dxf>
          </x14:cfRule>
          <xm:sqref>Q185:R185</xm:sqref>
        </x14:conditionalFormatting>
        <x14:conditionalFormatting xmlns:xm="http://schemas.microsoft.com/office/excel/2006/main">
          <x14:cfRule type="expression" priority="2492" id="{7FC9FA78-CB01-4454-ACDB-92F5DA583170}">
            <xm:f>$S$8='Assessment Details'!$Q$23</xm:f>
            <x14:dxf>
              <border>
                <left style="thin">
                  <color theme="0"/>
                </left>
                <right style="thin">
                  <color theme="0"/>
                </right>
                <top style="thin">
                  <color theme="0"/>
                </top>
                <bottom style="thin">
                  <color theme="0"/>
                </bottom>
                <vertical/>
                <horizontal/>
              </border>
            </x14:dxf>
          </x14:cfRule>
          <xm:sqref>Q185:R185</xm:sqref>
        </x14:conditionalFormatting>
        <x14:conditionalFormatting xmlns:xm="http://schemas.microsoft.com/office/excel/2006/main">
          <x14:cfRule type="expression" priority="2491" id="{82F3A0CF-3445-445E-8A01-3FAB2A216AD4}">
            <xm:f>$Z$8='Assessment Details'!$Q$23</xm:f>
            <x14:dxf>
              <font>
                <color theme="0"/>
              </font>
              <fill>
                <patternFill>
                  <bgColor theme="0"/>
                </patternFill>
              </fill>
            </x14:dxf>
          </x14:cfRule>
          <xm:sqref>X185:Y185</xm:sqref>
        </x14:conditionalFormatting>
        <x14:conditionalFormatting xmlns:xm="http://schemas.microsoft.com/office/excel/2006/main">
          <x14:cfRule type="expression" priority="2490" id="{2D0F7A81-CB6F-46F2-8FF4-B9BE8086BF64}">
            <xm:f>$Z$8='Assessment Details'!$Q$23</xm:f>
            <x14:dxf>
              <border>
                <left style="thin">
                  <color theme="0"/>
                </left>
                <right style="thin">
                  <color theme="0"/>
                </right>
                <top style="thin">
                  <color theme="0"/>
                </top>
                <bottom style="thin">
                  <color theme="0"/>
                </bottom>
                <vertical/>
                <horizontal/>
              </border>
            </x14:dxf>
          </x14:cfRule>
          <xm:sqref>X185:Y185</xm:sqref>
        </x14:conditionalFormatting>
        <x14:conditionalFormatting xmlns:xm="http://schemas.microsoft.com/office/excel/2006/main">
          <x14:cfRule type="expression" priority="2471" id="{37A99355-9BE5-4679-964D-6ED8844998FD}">
            <xm:f>$S$8='Assessment Details'!$Q$23</xm:f>
            <x14:dxf>
              <font>
                <color theme="0"/>
              </font>
              <fill>
                <patternFill>
                  <bgColor theme="0"/>
                </patternFill>
              </fill>
              <border>
                <vertical/>
                <horizontal/>
              </border>
            </x14:dxf>
          </x14:cfRule>
          <xm:sqref>Q198:R198</xm:sqref>
        </x14:conditionalFormatting>
        <x14:conditionalFormatting xmlns:xm="http://schemas.microsoft.com/office/excel/2006/main">
          <x14:cfRule type="expression" priority="2470" id="{5B05A962-0B31-42C0-A29B-4FBC9AAFC702}">
            <xm:f>$S$8='Assessment Details'!$Q$23</xm:f>
            <x14:dxf>
              <border>
                <left style="thin">
                  <color theme="0"/>
                </left>
                <right style="thin">
                  <color theme="0"/>
                </right>
                <top style="thin">
                  <color theme="0"/>
                </top>
                <bottom style="thin">
                  <color theme="0"/>
                </bottom>
                <vertical/>
                <horizontal/>
              </border>
            </x14:dxf>
          </x14:cfRule>
          <xm:sqref>Q198:R198</xm:sqref>
        </x14:conditionalFormatting>
        <x14:conditionalFormatting xmlns:xm="http://schemas.microsoft.com/office/excel/2006/main">
          <x14:cfRule type="expression" priority="2469" id="{9FC6A7DA-9094-46D8-A8FC-A8B87FCE7D2B}">
            <xm:f>$Z$8='Assessment Details'!$Q$23</xm:f>
            <x14:dxf>
              <font>
                <color theme="0"/>
              </font>
              <fill>
                <patternFill>
                  <bgColor theme="0"/>
                </patternFill>
              </fill>
            </x14:dxf>
          </x14:cfRule>
          <xm:sqref>X198:Y198</xm:sqref>
        </x14:conditionalFormatting>
        <x14:conditionalFormatting xmlns:xm="http://schemas.microsoft.com/office/excel/2006/main">
          <x14:cfRule type="expression" priority="2468" id="{8C4FD2FA-C583-4CB4-80D9-8386039D5546}">
            <xm:f>$Z$8='Assessment Details'!$Q$23</xm:f>
            <x14:dxf>
              <border>
                <left style="thin">
                  <color theme="0"/>
                </left>
                <right style="thin">
                  <color theme="0"/>
                </right>
                <top style="thin">
                  <color theme="0"/>
                </top>
                <bottom style="thin">
                  <color theme="0"/>
                </bottom>
                <vertical/>
                <horizontal/>
              </border>
            </x14:dxf>
          </x14:cfRule>
          <xm:sqref>X198:Y198</xm:sqref>
        </x14:conditionalFormatting>
        <x14:conditionalFormatting xmlns:xm="http://schemas.microsoft.com/office/excel/2006/main">
          <x14:cfRule type="expression" priority="2449" id="{D7D360FE-8CC6-4803-A70B-CAE7A8DA2370}">
            <xm:f>$S$8='Assessment Details'!$Q$23</xm:f>
            <x14:dxf>
              <font>
                <color theme="0"/>
              </font>
              <fill>
                <patternFill>
                  <bgColor theme="0"/>
                </patternFill>
              </fill>
              <border>
                <vertical/>
                <horizontal/>
              </border>
            </x14:dxf>
          </x14:cfRule>
          <xm:sqref>Q201:R201</xm:sqref>
        </x14:conditionalFormatting>
        <x14:conditionalFormatting xmlns:xm="http://schemas.microsoft.com/office/excel/2006/main">
          <x14:cfRule type="expression" priority="2448" id="{361DB25F-D381-4DF6-8113-61F256A63FFD}">
            <xm:f>$S$8='Assessment Details'!$Q$23</xm:f>
            <x14:dxf>
              <border>
                <left style="thin">
                  <color theme="0"/>
                </left>
                <right style="thin">
                  <color theme="0"/>
                </right>
                <top style="thin">
                  <color theme="0"/>
                </top>
                <bottom style="thin">
                  <color theme="0"/>
                </bottom>
                <vertical/>
                <horizontal/>
              </border>
            </x14:dxf>
          </x14:cfRule>
          <xm:sqref>Q201:R201</xm:sqref>
        </x14:conditionalFormatting>
        <x14:conditionalFormatting xmlns:xm="http://schemas.microsoft.com/office/excel/2006/main">
          <x14:cfRule type="expression" priority="2447" id="{BF477FE1-0C94-45FA-9C9F-B7BEAF49FE48}">
            <xm:f>$Z$8='Assessment Details'!$Q$23</xm:f>
            <x14:dxf>
              <font>
                <color theme="0"/>
              </font>
              <fill>
                <patternFill>
                  <bgColor theme="0"/>
                </patternFill>
              </fill>
            </x14:dxf>
          </x14:cfRule>
          <xm:sqref>X201:Y201</xm:sqref>
        </x14:conditionalFormatting>
        <x14:conditionalFormatting xmlns:xm="http://schemas.microsoft.com/office/excel/2006/main">
          <x14:cfRule type="expression" priority="2446" id="{29455680-3399-4AC2-930B-5F61D074ABBA}">
            <xm:f>$Z$8='Assessment Details'!$Q$23</xm:f>
            <x14:dxf>
              <border>
                <left style="thin">
                  <color theme="0"/>
                </left>
                <right style="thin">
                  <color theme="0"/>
                </right>
                <top style="thin">
                  <color theme="0"/>
                </top>
                <bottom style="thin">
                  <color theme="0"/>
                </bottom>
                <vertical/>
                <horizontal/>
              </border>
            </x14:dxf>
          </x14:cfRule>
          <xm:sqref>X201:Y201</xm:sqref>
        </x14:conditionalFormatting>
        <x14:conditionalFormatting xmlns:xm="http://schemas.microsoft.com/office/excel/2006/main">
          <x14:cfRule type="expression" priority="2427" id="{9BE0B12E-ED3A-4BF6-BE58-06E577076887}">
            <xm:f>$S$8='Assessment Details'!$Q$23</xm:f>
            <x14:dxf>
              <font>
                <color theme="0"/>
              </font>
              <fill>
                <patternFill>
                  <bgColor theme="0"/>
                </patternFill>
              </fill>
              <border>
                <vertical/>
                <horizontal/>
              </border>
            </x14:dxf>
          </x14:cfRule>
          <xm:sqref>Q204:R204</xm:sqref>
        </x14:conditionalFormatting>
        <x14:conditionalFormatting xmlns:xm="http://schemas.microsoft.com/office/excel/2006/main">
          <x14:cfRule type="expression" priority="2426" id="{FB75C1DC-7F57-4929-B090-7120F515DFFC}">
            <xm:f>$S$8='Assessment Details'!$Q$23</xm:f>
            <x14:dxf>
              <border>
                <left style="thin">
                  <color theme="0"/>
                </left>
                <right style="thin">
                  <color theme="0"/>
                </right>
                <top style="thin">
                  <color theme="0"/>
                </top>
                <bottom style="thin">
                  <color theme="0"/>
                </bottom>
                <vertical/>
                <horizontal/>
              </border>
            </x14:dxf>
          </x14:cfRule>
          <xm:sqref>Q204:R204</xm:sqref>
        </x14:conditionalFormatting>
        <x14:conditionalFormatting xmlns:xm="http://schemas.microsoft.com/office/excel/2006/main">
          <x14:cfRule type="expression" priority="2425" id="{F50A463C-BCEE-4AF7-9D93-BC2C3D84423D}">
            <xm:f>$Z$8='Assessment Details'!$Q$23</xm:f>
            <x14:dxf>
              <font>
                <color theme="0"/>
              </font>
              <fill>
                <patternFill>
                  <bgColor theme="0"/>
                </patternFill>
              </fill>
            </x14:dxf>
          </x14:cfRule>
          <xm:sqref>X204:Y204</xm:sqref>
        </x14:conditionalFormatting>
        <x14:conditionalFormatting xmlns:xm="http://schemas.microsoft.com/office/excel/2006/main">
          <x14:cfRule type="expression" priority="2424" id="{E36E2DF7-E9FC-496C-BC29-3B08CB152ACD}">
            <xm:f>$Z$8='Assessment Details'!$Q$23</xm:f>
            <x14:dxf>
              <border>
                <left style="thin">
                  <color theme="0"/>
                </left>
                <right style="thin">
                  <color theme="0"/>
                </right>
                <top style="thin">
                  <color theme="0"/>
                </top>
                <bottom style="thin">
                  <color theme="0"/>
                </bottom>
                <vertical/>
                <horizontal/>
              </border>
            </x14:dxf>
          </x14:cfRule>
          <xm:sqref>X204:Y204</xm:sqref>
        </x14:conditionalFormatting>
        <x14:conditionalFormatting xmlns:xm="http://schemas.microsoft.com/office/excel/2006/main">
          <x14:cfRule type="expression" priority="2404" id="{F520F275-AA21-4989-B9CF-E28CD6D94467}">
            <xm:f>$S$8='Assessment Details'!$Q$23</xm:f>
            <x14:dxf>
              <font>
                <color theme="0"/>
              </font>
              <fill>
                <patternFill>
                  <bgColor theme="0"/>
                </patternFill>
              </fill>
              <border>
                <vertical/>
                <horizontal/>
              </border>
            </x14:dxf>
          </x14:cfRule>
          <xm:sqref>N40:N44</xm:sqref>
        </x14:conditionalFormatting>
        <x14:conditionalFormatting xmlns:xm="http://schemas.microsoft.com/office/excel/2006/main">
          <x14:cfRule type="expression" priority="2403" id="{65297D8B-AB0B-4557-8CDD-F71008214F0F}">
            <xm:f>$S$8='Assessment Details'!$Q$23</xm:f>
            <x14:dxf>
              <border>
                <left style="thin">
                  <color theme="0"/>
                </left>
                <right style="thin">
                  <color theme="0"/>
                </right>
                <top style="thin">
                  <color theme="0"/>
                </top>
                <bottom style="thin">
                  <color theme="0"/>
                </bottom>
                <vertical/>
                <horizontal/>
              </border>
            </x14:dxf>
          </x14:cfRule>
          <xm:sqref>N40:N44</xm:sqref>
        </x14:conditionalFormatting>
        <x14:conditionalFormatting xmlns:xm="http://schemas.microsoft.com/office/excel/2006/main">
          <x14:cfRule type="expression" priority="2402" id="{23ED5DD3-EE5A-4EC2-BF98-B7CAB7F0ACE1}">
            <xm:f>$Z$8='Assessment Details'!$Q$23</xm:f>
            <x14:dxf>
              <font>
                <color theme="0"/>
              </font>
              <fill>
                <patternFill>
                  <bgColor theme="0"/>
                </patternFill>
              </fill>
            </x14:dxf>
          </x14:cfRule>
          <xm:sqref>X40:Y44</xm:sqref>
        </x14:conditionalFormatting>
        <x14:conditionalFormatting xmlns:xm="http://schemas.microsoft.com/office/excel/2006/main">
          <x14:cfRule type="expression" priority="2401" id="{538EEEBC-840F-45AA-BA3C-4E4C560A6E08}">
            <xm:f>$Z$8='Assessment Details'!$Q$23</xm:f>
            <x14:dxf>
              <border>
                <left style="thin">
                  <color theme="0"/>
                </left>
                <right style="thin">
                  <color theme="0"/>
                </right>
                <top style="thin">
                  <color theme="0"/>
                </top>
                <bottom style="thin">
                  <color theme="0"/>
                </bottom>
                <vertical/>
                <horizontal/>
              </border>
            </x14:dxf>
          </x14:cfRule>
          <xm:sqref>X40:Y44</xm:sqref>
        </x14:conditionalFormatting>
        <x14:conditionalFormatting xmlns:xm="http://schemas.microsoft.com/office/excel/2006/main">
          <x14:cfRule type="expression" priority="2387" id="{DC06FD4E-10F2-4831-BD36-17564073A566}">
            <xm:f>$Z$8='Assessment Details'!$Q$23</xm:f>
            <x14:dxf>
              <font>
                <color theme="0"/>
              </font>
              <fill>
                <patternFill>
                  <bgColor theme="0"/>
                </patternFill>
              </fill>
            </x14:dxf>
          </x14:cfRule>
          <xm:sqref>U40:U44</xm:sqref>
        </x14:conditionalFormatting>
        <x14:conditionalFormatting xmlns:xm="http://schemas.microsoft.com/office/excel/2006/main">
          <x14:cfRule type="expression" priority="2386" id="{0C676674-2813-4A1B-8AC3-2129F2E97D76}">
            <xm:f>$Z$8='Assessment Details'!$Q$23</xm:f>
            <x14:dxf>
              <border>
                <left style="thin">
                  <color theme="0"/>
                </left>
                <right style="thin">
                  <color theme="0"/>
                </right>
                <top style="thin">
                  <color theme="0"/>
                </top>
                <bottom style="thin">
                  <color theme="0"/>
                </bottom>
                <vertical/>
                <horizontal/>
              </border>
            </x14:dxf>
          </x14:cfRule>
          <xm:sqref>U40:U44</xm:sqref>
        </x14:conditionalFormatting>
        <x14:conditionalFormatting xmlns:xm="http://schemas.microsoft.com/office/excel/2006/main">
          <x14:cfRule type="expression" priority="2375" id="{EBA401F8-FFB6-48F9-A694-9CEBDB9352D6}">
            <xm:f>$S$8='Assessment Details'!$Q$23</xm:f>
            <x14:dxf>
              <font>
                <color theme="0"/>
              </font>
              <fill>
                <patternFill>
                  <bgColor theme="0"/>
                </patternFill>
              </fill>
              <border>
                <vertical/>
                <horizontal/>
              </border>
            </x14:dxf>
          </x14:cfRule>
          <xm:sqref>N46:N49</xm:sqref>
        </x14:conditionalFormatting>
        <x14:conditionalFormatting xmlns:xm="http://schemas.microsoft.com/office/excel/2006/main">
          <x14:cfRule type="expression" priority="2374" id="{D00DE627-09B7-4C4E-AD68-6B294F08EA63}">
            <xm:f>$S$8='Assessment Details'!$Q$23</xm:f>
            <x14:dxf>
              <border>
                <left style="thin">
                  <color theme="0"/>
                </left>
                <right style="thin">
                  <color theme="0"/>
                </right>
                <top style="thin">
                  <color theme="0"/>
                </top>
                <bottom style="thin">
                  <color theme="0"/>
                </bottom>
                <vertical/>
                <horizontal/>
              </border>
            </x14:dxf>
          </x14:cfRule>
          <xm:sqref>N46:N49</xm:sqref>
        </x14:conditionalFormatting>
        <x14:conditionalFormatting xmlns:xm="http://schemas.microsoft.com/office/excel/2006/main">
          <x14:cfRule type="expression" priority="2373" id="{211A9518-D0E4-47F3-8F21-84EE0D3E60EA}">
            <xm:f>$Z$8='Assessment Details'!$Q$23</xm:f>
            <x14:dxf>
              <font>
                <color theme="0"/>
              </font>
              <fill>
                <patternFill>
                  <bgColor theme="0"/>
                </patternFill>
              </fill>
            </x14:dxf>
          </x14:cfRule>
          <xm:sqref>X46:Y49</xm:sqref>
        </x14:conditionalFormatting>
        <x14:conditionalFormatting xmlns:xm="http://schemas.microsoft.com/office/excel/2006/main">
          <x14:cfRule type="expression" priority="2372" id="{6918EB0A-3099-4DCC-93AA-21F4F3C3ABD7}">
            <xm:f>$Z$8='Assessment Details'!$Q$23</xm:f>
            <x14:dxf>
              <border>
                <left style="thin">
                  <color theme="0"/>
                </left>
                <right style="thin">
                  <color theme="0"/>
                </right>
                <top style="thin">
                  <color theme="0"/>
                </top>
                <bottom style="thin">
                  <color theme="0"/>
                </bottom>
                <vertical/>
                <horizontal/>
              </border>
            </x14:dxf>
          </x14:cfRule>
          <xm:sqref>X46:Y49</xm:sqref>
        </x14:conditionalFormatting>
        <x14:conditionalFormatting xmlns:xm="http://schemas.microsoft.com/office/excel/2006/main">
          <x14:cfRule type="expression" priority="2358" id="{B16CC0B9-0CF9-4BC4-B50C-20280CD71DB9}">
            <xm:f>$Z$8='Assessment Details'!$Q$23</xm:f>
            <x14:dxf>
              <font>
                <color theme="0"/>
              </font>
              <fill>
                <patternFill>
                  <bgColor theme="0"/>
                </patternFill>
              </fill>
            </x14:dxf>
          </x14:cfRule>
          <xm:sqref>U46:U49</xm:sqref>
        </x14:conditionalFormatting>
        <x14:conditionalFormatting xmlns:xm="http://schemas.microsoft.com/office/excel/2006/main">
          <x14:cfRule type="expression" priority="2357" id="{D6211A4D-1F18-47FB-8C6F-B6B4E8C7276F}">
            <xm:f>$Z$8='Assessment Details'!$Q$23</xm:f>
            <x14:dxf>
              <border>
                <left style="thin">
                  <color theme="0"/>
                </left>
                <right style="thin">
                  <color theme="0"/>
                </right>
                <top style="thin">
                  <color theme="0"/>
                </top>
                <bottom style="thin">
                  <color theme="0"/>
                </bottom>
                <vertical/>
                <horizontal/>
              </border>
            </x14:dxf>
          </x14:cfRule>
          <xm:sqref>U46:U49</xm:sqref>
        </x14:conditionalFormatting>
        <x14:conditionalFormatting xmlns:xm="http://schemas.microsoft.com/office/excel/2006/main">
          <x14:cfRule type="expression" priority="2346" id="{8B61BCE3-BA8E-44F9-974F-CBAF2F4E9CCF}">
            <xm:f>$S$8='Assessment Details'!$Q$23</xm:f>
            <x14:dxf>
              <font>
                <color theme="0"/>
              </font>
              <fill>
                <patternFill>
                  <bgColor theme="0"/>
                </patternFill>
              </fill>
              <border>
                <vertical/>
                <horizontal/>
              </border>
            </x14:dxf>
          </x14:cfRule>
          <xm:sqref>N51:N53</xm:sqref>
        </x14:conditionalFormatting>
        <x14:conditionalFormatting xmlns:xm="http://schemas.microsoft.com/office/excel/2006/main">
          <x14:cfRule type="expression" priority="2345" id="{0F5C6E7F-3AB1-4804-B5B8-59509DC61890}">
            <xm:f>$S$8='Assessment Details'!$Q$23</xm:f>
            <x14:dxf>
              <border>
                <left style="thin">
                  <color theme="0"/>
                </left>
                <right style="thin">
                  <color theme="0"/>
                </right>
                <top style="thin">
                  <color theme="0"/>
                </top>
                <bottom style="thin">
                  <color theme="0"/>
                </bottom>
                <vertical/>
                <horizontal/>
              </border>
            </x14:dxf>
          </x14:cfRule>
          <xm:sqref>N51:N53</xm:sqref>
        </x14:conditionalFormatting>
        <x14:conditionalFormatting xmlns:xm="http://schemas.microsoft.com/office/excel/2006/main">
          <x14:cfRule type="expression" priority="2344" id="{8B35C785-D46D-4C2B-ABFE-E56AAFA48521}">
            <xm:f>$Z$8='Assessment Details'!$Q$23</xm:f>
            <x14:dxf>
              <font>
                <color theme="0"/>
              </font>
              <fill>
                <patternFill>
                  <bgColor theme="0"/>
                </patternFill>
              </fill>
            </x14:dxf>
          </x14:cfRule>
          <xm:sqref>X51:Y53</xm:sqref>
        </x14:conditionalFormatting>
        <x14:conditionalFormatting xmlns:xm="http://schemas.microsoft.com/office/excel/2006/main">
          <x14:cfRule type="expression" priority="2343" id="{CC6DD474-82D8-4E9E-BC65-751A09A84E39}">
            <xm:f>$Z$8='Assessment Details'!$Q$23</xm:f>
            <x14:dxf>
              <border>
                <left style="thin">
                  <color theme="0"/>
                </left>
                <right style="thin">
                  <color theme="0"/>
                </right>
                <top style="thin">
                  <color theme="0"/>
                </top>
                <bottom style="thin">
                  <color theme="0"/>
                </bottom>
                <vertical/>
                <horizontal/>
              </border>
            </x14:dxf>
          </x14:cfRule>
          <xm:sqref>X51:Y53</xm:sqref>
        </x14:conditionalFormatting>
        <x14:conditionalFormatting xmlns:xm="http://schemas.microsoft.com/office/excel/2006/main">
          <x14:cfRule type="expression" priority="2329" id="{C13CF83B-3E24-403D-ACE9-CB88E7959896}">
            <xm:f>$Z$8='Assessment Details'!$Q$23</xm:f>
            <x14:dxf>
              <font>
                <color theme="0"/>
              </font>
              <fill>
                <patternFill>
                  <bgColor theme="0"/>
                </patternFill>
              </fill>
            </x14:dxf>
          </x14:cfRule>
          <xm:sqref>U51:U53</xm:sqref>
        </x14:conditionalFormatting>
        <x14:conditionalFormatting xmlns:xm="http://schemas.microsoft.com/office/excel/2006/main">
          <x14:cfRule type="expression" priority="2328" id="{70213745-7607-4C38-B131-7AF5FAF240C3}">
            <xm:f>$Z$8='Assessment Details'!$Q$23</xm:f>
            <x14:dxf>
              <border>
                <left style="thin">
                  <color theme="0"/>
                </left>
                <right style="thin">
                  <color theme="0"/>
                </right>
                <top style="thin">
                  <color theme="0"/>
                </top>
                <bottom style="thin">
                  <color theme="0"/>
                </bottom>
                <vertical/>
                <horizontal/>
              </border>
            </x14:dxf>
          </x14:cfRule>
          <xm:sqref>U51:U53</xm:sqref>
        </x14:conditionalFormatting>
        <x14:conditionalFormatting xmlns:xm="http://schemas.microsoft.com/office/excel/2006/main">
          <x14:cfRule type="expression" priority="2317" id="{B5DB6A08-0F2F-4CF9-89FC-B055882590B1}">
            <xm:f>$S$8='Assessment Details'!$Q$23</xm:f>
            <x14:dxf>
              <font>
                <color theme="0"/>
              </font>
              <fill>
                <patternFill>
                  <bgColor theme="0"/>
                </patternFill>
              </fill>
              <border>
                <vertical/>
                <horizontal/>
              </border>
            </x14:dxf>
          </x14:cfRule>
          <xm:sqref>N56</xm:sqref>
        </x14:conditionalFormatting>
        <x14:conditionalFormatting xmlns:xm="http://schemas.microsoft.com/office/excel/2006/main">
          <x14:cfRule type="expression" priority="2316" id="{9A28F136-F590-4DC8-946D-8960E86C886D}">
            <xm:f>$S$8='Assessment Details'!$Q$23</xm:f>
            <x14:dxf>
              <border>
                <left style="thin">
                  <color theme="0"/>
                </left>
                <right style="thin">
                  <color theme="0"/>
                </right>
                <top style="thin">
                  <color theme="0"/>
                </top>
                <bottom style="thin">
                  <color theme="0"/>
                </bottom>
                <vertical/>
                <horizontal/>
              </border>
            </x14:dxf>
          </x14:cfRule>
          <xm:sqref>N56</xm:sqref>
        </x14:conditionalFormatting>
        <x14:conditionalFormatting xmlns:xm="http://schemas.microsoft.com/office/excel/2006/main">
          <x14:cfRule type="expression" priority="2315" id="{64B44649-B175-40BD-9BD2-E1C718700405}">
            <xm:f>$Z$8='Assessment Details'!$Q$23</xm:f>
            <x14:dxf>
              <font>
                <color theme="0"/>
              </font>
              <fill>
                <patternFill>
                  <bgColor theme="0"/>
                </patternFill>
              </fill>
            </x14:dxf>
          </x14:cfRule>
          <xm:sqref>X55:Y56</xm:sqref>
        </x14:conditionalFormatting>
        <x14:conditionalFormatting xmlns:xm="http://schemas.microsoft.com/office/excel/2006/main">
          <x14:cfRule type="expression" priority="2314" id="{3F4FB2A4-51EB-438B-BAF6-1061DECAB44F}">
            <xm:f>$Z$8='Assessment Details'!$Q$23</xm:f>
            <x14:dxf>
              <border>
                <left style="thin">
                  <color theme="0"/>
                </left>
                <right style="thin">
                  <color theme="0"/>
                </right>
                <top style="thin">
                  <color theme="0"/>
                </top>
                <bottom style="thin">
                  <color theme="0"/>
                </bottom>
                <vertical/>
                <horizontal/>
              </border>
            </x14:dxf>
          </x14:cfRule>
          <xm:sqref>X55:Y56</xm:sqref>
        </x14:conditionalFormatting>
        <x14:conditionalFormatting xmlns:xm="http://schemas.microsoft.com/office/excel/2006/main">
          <x14:cfRule type="expression" priority="2300" id="{CDE578B3-2556-425C-90AA-81F2B73F6BB0}">
            <xm:f>$Z$8='Assessment Details'!$Q$23</xm:f>
            <x14:dxf>
              <font>
                <color theme="0"/>
              </font>
              <fill>
                <patternFill>
                  <bgColor theme="0"/>
                </patternFill>
              </fill>
            </x14:dxf>
          </x14:cfRule>
          <xm:sqref>U56</xm:sqref>
        </x14:conditionalFormatting>
        <x14:conditionalFormatting xmlns:xm="http://schemas.microsoft.com/office/excel/2006/main">
          <x14:cfRule type="expression" priority="2299" id="{B626148C-4F2A-46AA-AA58-0463FA1A9A60}">
            <xm:f>$Z$8='Assessment Details'!$Q$23</xm:f>
            <x14:dxf>
              <border>
                <left style="thin">
                  <color theme="0"/>
                </left>
                <right style="thin">
                  <color theme="0"/>
                </right>
                <top style="thin">
                  <color theme="0"/>
                </top>
                <bottom style="thin">
                  <color theme="0"/>
                </bottom>
                <vertical/>
                <horizontal/>
              </border>
            </x14:dxf>
          </x14:cfRule>
          <xm:sqref>U56</xm:sqref>
        </x14:conditionalFormatting>
        <x14:conditionalFormatting xmlns:xm="http://schemas.microsoft.com/office/excel/2006/main">
          <x14:cfRule type="expression" priority="2288" id="{226059A5-5C88-467E-897B-4EDFB8224159}">
            <xm:f>$S$8='Assessment Details'!$Q$23</xm:f>
            <x14:dxf>
              <font>
                <color theme="0"/>
              </font>
              <fill>
                <patternFill>
                  <bgColor theme="0"/>
                </patternFill>
              </fill>
              <border>
                <vertical/>
                <horizontal/>
              </border>
            </x14:dxf>
          </x14:cfRule>
          <xm:sqref>N58:N59</xm:sqref>
        </x14:conditionalFormatting>
        <x14:conditionalFormatting xmlns:xm="http://schemas.microsoft.com/office/excel/2006/main">
          <x14:cfRule type="expression" priority="2287" id="{5CA0F889-AA6E-413C-AD94-C7EC10EAFCE5}">
            <xm:f>$S$8='Assessment Details'!$Q$23</xm:f>
            <x14:dxf>
              <border>
                <left style="thin">
                  <color theme="0"/>
                </left>
                <right style="thin">
                  <color theme="0"/>
                </right>
                <top style="thin">
                  <color theme="0"/>
                </top>
                <bottom style="thin">
                  <color theme="0"/>
                </bottom>
                <vertical/>
                <horizontal/>
              </border>
            </x14:dxf>
          </x14:cfRule>
          <xm:sqref>N58:N59</xm:sqref>
        </x14:conditionalFormatting>
        <x14:conditionalFormatting xmlns:xm="http://schemas.microsoft.com/office/excel/2006/main">
          <x14:cfRule type="expression" priority="2286" id="{8B989734-F8DF-4E16-BF6A-8BEAEADE2E3E}">
            <xm:f>$Z$8='Assessment Details'!$Q$23</xm:f>
            <x14:dxf>
              <font>
                <color theme="0"/>
              </font>
              <fill>
                <patternFill>
                  <bgColor theme="0"/>
                </patternFill>
              </fill>
            </x14:dxf>
          </x14:cfRule>
          <xm:sqref>X58:Y59</xm:sqref>
        </x14:conditionalFormatting>
        <x14:conditionalFormatting xmlns:xm="http://schemas.microsoft.com/office/excel/2006/main">
          <x14:cfRule type="expression" priority="2285" id="{BB590148-8C46-498A-874D-9FBDABE72BBD}">
            <xm:f>$Z$8='Assessment Details'!$Q$23</xm:f>
            <x14:dxf>
              <border>
                <left style="thin">
                  <color theme="0"/>
                </left>
                <right style="thin">
                  <color theme="0"/>
                </right>
                <top style="thin">
                  <color theme="0"/>
                </top>
                <bottom style="thin">
                  <color theme="0"/>
                </bottom>
                <vertical/>
                <horizontal/>
              </border>
            </x14:dxf>
          </x14:cfRule>
          <xm:sqref>X58:Y59</xm:sqref>
        </x14:conditionalFormatting>
        <x14:conditionalFormatting xmlns:xm="http://schemas.microsoft.com/office/excel/2006/main">
          <x14:cfRule type="expression" priority="2271" id="{CB71A114-E15F-4B34-82A8-A06476665063}">
            <xm:f>$Z$8='Assessment Details'!$Q$23</xm:f>
            <x14:dxf>
              <font>
                <color theme="0"/>
              </font>
              <fill>
                <patternFill>
                  <bgColor theme="0"/>
                </patternFill>
              </fill>
            </x14:dxf>
          </x14:cfRule>
          <xm:sqref>U58:U59</xm:sqref>
        </x14:conditionalFormatting>
        <x14:conditionalFormatting xmlns:xm="http://schemas.microsoft.com/office/excel/2006/main">
          <x14:cfRule type="expression" priority="2270" id="{DB3093EC-74C7-40E1-9C37-44C4FFABBAD7}">
            <xm:f>$Z$8='Assessment Details'!$Q$23</xm:f>
            <x14:dxf>
              <border>
                <left style="thin">
                  <color theme="0"/>
                </left>
                <right style="thin">
                  <color theme="0"/>
                </right>
                <top style="thin">
                  <color theme="0"/>
                </top>
                <bottom style="thin">
                  <color theme="0"/>
                </bottom>
                <vertical/>
                <horizontal/>
              </border>
            </x14:dxf>
          </x14:cfRule>
          <xm:sqref>U58:U59</xm:sqref>
        </x14:conditionalFormatting>
        <x14:conditionalFormatting xmlns:xm="http://schemas.microsoft.com/office/excel/2006/main">
          <x14:cfRule type="expression" priority="2259" id="{594E7B80-4F01-4A25-B75D-ED47E2CFAAC8}">
            <xm:f>$S$8='Assessment Details'!$Q$23</xm:f>
            <x14:dxf>
              <font>
                <color theme="0"/>
              </font>
              <fill>
                <patternFill>
                  <bgColor theme="0"/>
                </patternFill>
              </fill>
              <border>
                <vertical/>
                <horizontal/>
              </border>
            </x14:dxf>
          </x14:cfRule>
          <xm:sqref>N61</xm:sqref>
        </x14:conditionalFormatting>
        <x14:conditionalFormatting xmlns:xm="http://schemas.microsoft.com/office/excel/2006/main">
          <x14:cfRule type="expression" priority="2258" id="{B5708B9A-F16A-4B40-A4F5-F56F183612CF}">
            <xm:f>$S$8='Assessment Details'!$Q$23</xm:f>
            <x14:dxf>
              <border>
                <left style="thin">
                  <color theme="0"/>
                </left>
                <right style="thin">
                  <color theme="0"/>
                </right>
                <top style="thin">
                  <color theme="0"/>
                </top>
                <bottom style="thin">
                  <color theme="0"/>
                </bottom>
                <vertical/>
                <horizontal/>
              </border>
            </x14:dxf>
          </x14:cfRule>
          <xm:sqref>N61</xm:sqref>
        </x14:conditionalFormatting>
        <x14:conditionalFormatting xmlns:xm="http://schemas.microsoft.com/office/excel/2006/main">
          <x14:cfRule type="expression" priority="2257" id="{A4F5DEDE-ED55-4EA4-9A3D-3AE3E3BE1DDC}">
            <xm:f>$Z$8='Assessment Details'!$Q$23</xm:f>
            <x14:dxf>
              <font>
                <color theme="0"/>
              </font>
              <fill>
                <patternFill>
                  <bgColor theme="0"/>
                </patternFill>
              </fill>
            </x14:dxf>
          </x14:cfRule>
          <xm:sqref>X61:Y61</xm:sqref>
        </x14:conditionalFormatting>
        <x14:conditionalFormatting xmlns:xm="http://schemas.microsoft.com/office/excel/2006/main">
          <x14:cfRule type="expression" priority="2256" id="{69C51F84-D983-48EE-A07C-54B29FCA9113}">
            <xm:f>$Z$8='Assessment Details'!$Q$23</xm:f>
            <x14:dxf>
              <border>
                <left style="thin">
                  <color theme="0"/>
                </left>
                <right style="thin">
                  <color theme="0"/>
                </right>
                <top style="thin">
                  <color theme="0"/>
                </top>
                <bottom style="thin">
                  <color theme="0"/>
                </bottom>
                <vertical/>
                <horizontal/>
              </border>
            </x14:dxf>
          </x14:cfRule>
          <xm:sqref>X61:Y61</xm:sqref>
        </x14:conditionalFormatting>
        <x14:conditionalFormatting xmlns:xm="http://schemas.microsoft.com/office/excel/2006/main">
          <x14:cfRule type="expression" priority="2242" id="{F1A8FF8C-FE8F-4A32-93EB-787994E1183B}">
            <xm:f>$Z$8='Assessment Details'!$Q$23</xm:f>
            <x14:dxf>
              <font>
                <color theme="0"/>
              </font>
              <fill>
                <patternFill>
                  <bgColor theme="0"/>
                </patternFill>
              </fill>
            </x14:dxf>
          </x14:cfRule>
          <xm:sqref>U61</xm:sqref>
        </x14:conditionalFormatting>
        <x14:conditionalFormatting xmlns:xm="http://schemas.microsoft.com/office/excel/2006/main">
          <x14:cfRule type="expression" priority="2241" id="{1889BFD1-A62C-423B-AF97-D06672E00C4D}">
            <xm:f>$Z$8='Assessment Details'!$Q$23</xm:f>
            <x14:dxf>
              <border>
                <left style="thin">
                  <color theme="0"/>
                </left>
                <right style="thin">
                  <color theme="0"/>
                </right>
                <top style="thin">
                  <color theme="0"/>
                </top>
                <bottom style="thin">
                  <color theme="0"/>
                </bottom>
                <vertical/>
                <horizontal/>
              </border>
            </x14:dxf>
          </x14:cfRule>
          <xm:sqref>U61</xm:sqref>
        </x14:conditionalFormatting>
        <x14:conditionalFormatting xmlns:xm="http://schemas.microsoft.com/office/excel/2006/main">
          <x14:cfRule type="expression" priority="2230" id="{4C57F81C-C296-4591-8038-E0A5D9376C47}">
            <xm:f>$S$8='Assessment Details'!$Q$23</xm:f>
            <x14:dxf>
              <font>
                <color theme="0"/>
              </font>
              <fill>
                <patternFill>
                  <bgColor theme="0"/>
                </patternFill>
              </fill>
              <border>
                <vertical/>
                <horizontal/>
              </border>
            </x14:dxf>
          </x14:cfRule>
          <xm:sqref>N66:N71</xm:sqref>
        </x14:conditionalFormatting>
        <x14:conditionalFormatting xmlns:xm="http://schemas.microsoft.com/office/excel/2006/main">
          <x14:cfRule type="expression" priority="2229" id="{D64BE3C6-7FDA-468C-8A28-C862508A24D6}">
            <xm:f>$S$8='Assessment Details'!$Q$23</xm:f>
            <x14:dxf>
              <border>
                <left style="thin">
                  <color theme="0"/>
                </left>
                <right style="thin">
                  <color theme="0"/>
                </right>
                <top style="thin">
                  <color theme="0"/>
                </top>
                <bottom style="thin">
                  <color theme="0"/>
                </bottom>
                <vertical/>
                <horizontal/>
              </border>
            </x14:dxf>
          </x14:cfRule>
          <xm:sqref>N66:N71</xm:sqref>
        </x14:conditionalFormatting>
        <x14:conditionalFormatting xmlns:xm="http://schemas.microsoft.com/office/excel/2006/main">
          <x14:cfRule type="expression" priority="2228" id="{D2990D95-B237-40C7-8B29-8E431D7CCD98}">
            <xm:f>$Z$8='Assessment Details'!$Q$23</xm:f>
            <x14:dxf>
              <font>
                <color theme="0"/>
              </font>
              <fill>
                <patternFill>
                  <bgColor theme="0"/>
                </patternFill>
              </fill>
            </x14:dxf>
          </x14:cfRule>
          <xm:sqref>X66:Y71</xm:sqref>
        </x14:conditionalFormatting>
        <x14:conditionalFormatting xmlns:xm="http://schemas.microsoft.com/office/excel/2006/main">
          <x14:cfRule type="expression" priority="2227" id="{5D6521A0-E04C-4DDD-9F6E-E7074BA9A1BA}">
            <xm:f>$Z$8='Assessment Details'!$Q$23</xm:f>
            <x14:dxf>
              <border>
                <left style="thin">
                  <color theme="0"/>
                </left>
                <right style="thin">
                  <color theme="0"/>
                </right>
                <top style="thin">
                  <color theme="0"/>
                </top>
                <bottom style="thin">
                  <color theme="0"/>
                </bottom>
                <vertical/>
                <horizontal/>
              </border>
            </x14:dxf>
          </x14:cfRule>
          <xm:sqref>X66:Y71</xm:sqref>
        </x14:conditionalFormatting>
        <x14:conditionalFormatting xmlns:xm="http://schemas.microsoft.com/office/excel/2006/main">
          <x14:cfRule type="expression" priority="2213" id="{4789BFF2-D6D4-4288-B53F-B8FE41E469F3}">
            <xm:f>$Z$8='Assessment Details'!$Q$23</xm:f>
            <x14:dxf>
              <font>
                <color theme="0"/>
              </font>
              <fill>
                <patternFill>
                  <bgColor theme="0"/>
                </patternFill>
              </fill>
            </x14:dxf>
          </x14:cfRule>
          <xm:sqref>U66:U68 U70:U71</xm:sqref>
        </x14:conditionalFormatting>
        <x14:conditionalFormatting xmlns:xm="http://schemas.microsoft.com/office/excel/2006/main">
          <x14:cfRule type="expression" priority="2212" id="{24B4E335-84BD-46CE-8043-1B118D9235AD}">
            <xm:f>$Z$8='Assessment Details'!$Q$23</xm:f>
            <x14:dxf>
              <border>
                <left style="thin">
                  <color theme="0"/>
                </left>
                <right style="thin">
                  <color theme="0"/>
                </right>
                <top style="thin">
                  <color theme="0"/>
                </top>
                <bottom style="thin">
                  <color theme="0"/>
                </bottom>
                <vertical/>
                <horizontal/>
              </border>
            </x14:dxf>
          </x14:cfRule>
          <xm:sqref>U66:U68 U70:U71</xm:sqref>
        </x14:conditionalFormatting>
        <x14:conditionalFormatting xmlns:xm="http://schemas.microsoft.com/office/excel/2006/main">
          <x14:cfRule type="expression" priority="2201" id="{624BDA07-2E5A-4BB8-AB05-9D1324B44598}">
            <xm:f>$S$8='Assessment Details'!$Q$23</xm:f>
            <x14:dxf>
              <font>
                <color theme="0"/>
              </font>
              <fill>
                <patternFill>
                  <bgColor theme="0"/>
                </patternFill>
              </fill>
              <border>
                <vertical/>
                <horizontal/>
              </border>
            </x14:dxf>
          </x14:cfRule>
          <xm:sqref>N73:N75</xm:sqref>
        </x14:conditionalFormatting>
        <x14:conditionalFormatting xmlns:xm="http://schemas.microsoft.com/office/excel/2006/main">
          <x14:cfRule type="expression" priority="2200" id="{C8D83D7C-7FCA-43B9-8A56-98275D98F953}">
            <xm:f>$S$8='Assessment Details'!$Q$23</xm:f>
            <x14:dxf>
              <border>
                <left style="thin">
                  <color theme="0"/>
                </left>
                <right style="thin">
                  <color theme="0"/>
                </right>
                <top style="thin">
                  <color theme="0"/>
                </top>
                <bottom style="thin">
                  <color theme="0"/>
                </bottom>
                <vertical/>
                <horizontal/>
              </border>
            </x14:dxf>
          </x14:cfRule>
          <xm:sqref>N73:N75</xm:sqref>
        </x14:conditionalFormatting>
        <x14:conditionalFormatting xmlns:xm="http://schemas.microsoft.com/office/excel/2006/main">
          <x14:cfRule type="expression" priority="2199" id="{28293B8E-DE74-4681-8B37-3D015FF67550}">
            <xm:f>$Z$8='Assessment Details'!$Q$23</xm:f>
            <x14:dxf>
              <font>
                <color theme="0"/>
              </font>
              <fill>
                <patternFill>
                  <bgColor theme="0"/>
                </patternFill>
              </fill>
            </x14:dxf>
          </x14:cfRule>
          <xm:sqref>X73:Y75</xm:sqref>
        </x14:conditionalFormatting>
        <x14:conditionalFormatting xmlns:xm="http://schemas.microsoft.com/office/excel/2006/main">
          <x14:cfRule type="expression" priority="2198" id="{FA4E4398-1960-47C2-9636-EE189871FC34}">
            <xm:f>$Z$8='Assessment Details'!$Q$23</xm:f>
            <x14:dxf>
              <border>
                <left style="thin">
                  <color theme="0"/>
                </left>
                <right style="thin">
                  <color theme="0"/>
                </right>
                <top style="thin">
                  <color theme="0"/>
                </top>
                <bottom style="thin">
                  <color theme="0"/>
                </bottom>
                <vertical/>
                <horizontal/>
              </border>
            </x14:dxf>
          </x14:cfRule>
          <xm:sqref>X73:Y75</xm:sqref>
        </x14:conditionalFormatting>
        <x14:conditionalFormatting xmlns:xm="http://schemas.microsoft.com/office/excel/2006/main">
          <x14:cfRule type="expression" priority="2184" id="{AB0458F2-B50D-48A9-A136-B8142DE40861}">
            <xm:f>$Z$8='Assessment Details'!$Q$23</xm:f>
            <x14:dxf>
              <font>
                <color theme="0"/>
              </font>
              <fill>
                <patternFill>
                  <bgColor theme="0"/>
                </patternFill>
              </fill>
            </x14:dxf>
          </x14:cfRule>
          <xm:sqref>U73:U75</xm:sqref>
        </x14:conditionalFormatting>
        <x14:conditionalFormatting xmlns:xm="http://schemas.microsoft.com/office/excel/2006/main">
          <x14:cfRule type="expression" priority="2183" id="{04A59890-99BC-4105-8456-C1E9F7D31E91}">
            <xm:f>$Z$8='Assessment Details'!$Q$23</xm:f>
            <x14:dxf>
              <border>
                <left style="thin">
                  <color theme="0"/>
                </left>
                <right style="thin">
                  <color theme="0"/>
                </right>
                <top style="thin">
                  <color theme="0"/>
                </top>
                <bottom style="thin">
                  <color theme="0"/>
                </bottom>
                <vertical/>
                <horizontal/>
              </border>
            </x14:dxf>
          </x14:cfRule>
          <xm:sqref>U73:U75</xm:sqref>
        </x14:conditionalFormatting>
        <x14:conditionalFormatting xmlns:xm="http://schemas.microsoft.com/office/excel/2006/main">
          <x14:cfRule type="expression" priority="2172" id="{3AB8F301-5249-4A01-8980-347F6CBB67AA}">
            <xm:f>$S$8='Assessment Details'!$Q$23</xm:f>
            <x14:dxf>
              <font>
                <color theme="0"/>
              </font>
              <fill>
                <patternFill>
                  <bgColor theme="0"/>
                </patternFill>
              </fill>
              <border>
                <vertical/>
                <horizontal/>
              </border>
            </x14:dxf>
          </x14:cfRule>
          <xm:sqref>N77:N78</xm:sqref>
        </x14:conditionalFormatting>
        <x14:conditionalFormatting xmlns:xm="http://schemas.microsoft.com/office/excel/2006/main">
          <x14:cfRule type="expression" priority="2171" id="{AAF2E691-E93D-4F1C-9C1D-49345DC5D20C}">
            <xm:f>$S$8='Assessment Details'!$Q$23</xm:f>
            <x14:dxf>
              <border>
                <left style="thin">
                  <color theme="0"/>
                </left>
                <right style="thin">
                  <color theme="0"/>
                </right>
                <top style="thin">
                  <color theme="0"/>
                </top>
                <bottom style="thin">
                  <color theme="0"/>
                </bottom>
                <vertical/>
                <horizontal/>
              </border>
            </x14:dxf>
          </x14:cfRule>
          <xm:sqref>N77:N78</xm:sqref>
        </x14:conditionalFormatting>
        <x14:conditionalFormatting xmlns:xm="http://schemas.microsoft.com/office/excel/2006/main">
          <x14:cfRule type="expression" priority="2170" id="{7C89C613-2684-41DE-AA39-DB5B0E056B79}">
            <xm:f>$Z$8='Assessment Details'!$Q$23</xm:f>
            <x14:dxf>
              <font>
                <color theme="0"/>
              </font>
              <fill>
                <patternFill>
                  <bgColor theme="0"/>
                </patternFill>
              </fill>
            </x14:dxf>
          </x14:cfRule>
          <xm:sqref>X77:Y78</xm:sqref>
        </x14:conditionalFormatting>
        <x14:conditionalFormatting xmlns:xm="http://schemas.microsoft.com/office/excel/2006/main">
          <x14:cfRule type="expression" priority="2169" id="{4E547AEC-83C5-443E-A538-8262F36AD380}">
            <xm:f>$Z$8='Assessment Details'!$Q$23</xm:f>
            <x14:dxf>
              <border>
                <left style="thin">
                  <color theme="0"/>
                </left>
                <right style="thin">
                  <color theme="0"/>
                </right>
                <top style="thin">
                  <color theme="0"/>
                </top>
                <bottom style="thin">
                  <color theme="0"/>
                </bottom>
                <vertical/>
                <horizontal/>
              </border>
            </x14:dxf>
          </x14:cfRule>
          <xm:sqref>X77:Y78</xm:sqref>
        </x14:conditionalFormatting>
        <x14:conditionalFormatting xmlns:xm="http://schemas.microsoft.com/office/excel/2006/main">
          <x14:cfRule type="expression" priority="2155" id="{2E7100A6-7B8F-4808-B6A2-D3BE9816341C}">
            <xm:f>$Z$8='Assessment Details'!$Q$23</xm:f>
            <x14:dxf>
              <font>
                <color theme="0"/>
              </font>
              <fill>
                <patternFill>
                  <bgColor theme="0"/>
                </patternFill>
              </fill>
            </x14:dxf>
          </x14:cfRule>
          <xm:sqref>U77:U78</xm:sqref>
        </x14:conditionalFormatting>
        <x14:conditionalFormatting xmlns:xm="http://schemas.microsoft.com/office/excel/2006/main">
          <x14:cfRule type="expression" priority="2154" id="{FC4023BD-68ED-4558-9A2B-3D04902BEE9B}">
            <xm:f>$Z$8='Assessment Details'!$Q$23</xm:f>
            <x14:dxf>
              <border>
                <left style="thin">
                  <color theme="0"/>
                </left>
                <right style="thin">
                  <color theme="0"/>
                </right>
                <top style="thin">
                  <color theme="0"/>
                </top>
                <bottom style="thin">
                  <color theme="0"/>
                </bottom>
                <vertical/>
                <horizontal/>
              </border>
            </x14:dxf>
          </x14:cfRule>
          <xm:sqref>U77:U78</xm:sqref>
        </x14:conditionalFormatting>
        <x14:conditionalFormatting xmlns:xm="http://schemas.microsoft.com/office/excel/2006/main">
          <x14:cfRule type="expression" priority="2143" id="{8639024F-F23F-4E81-8DB4-60196403B34E}">
            <xm:f>$S$8='Assessment Details'!$Q$23</xm:f>
            <x14:dxf>
              <font>
                <color theme="0"/>
              </font>
              <fill>
                <patternFill>
                  <bgColor theme="0"/>
                </patternFill>
              </fill>
              <border>
                <vertical/>
                <horizontal/>
              </border>
            </x14:dxf>
          </x14:cfRule>
          <xm:sqref>N80:N81</xm:sqref>
        </x14:conditionalFormatting>
        <x14:conditionalFormatting xmlns:xm="http://schemas.microsoft.com/office/excel/2006/main">
          <x14:cfRule type="expression" priority="2142" id="{DFA2286E-5E2D-490A-B777-279B25DA5D7A}">
            <xm:f>$S$8='Assessment Details'!$Q$23</xm:f>
            <x14:dxf>
              <border>
                <left style="thin">
                  <color theme="0"/>
                </left>
                <right style="thin">
                  <color theme="0"/>
                </right>
                <top style="thin">
                  <color theme="0"/>
                </top>
                <bottom style="thin">
                  <color theme="0"/>
                </bottom>
                <vertical/>
                <horizontal/>
              </border>
            </x14:dxf>
          </x14:cfRule>
          <xm:sqref>N80:N81</xm:sqref>
        </x14:conditionalFormatting>
        <x14:conditionalFormatting xmlns:xm="http://schemas.microsoft.com/office/excel/2006/main">
          <x14:cfRule type="expression" priority="2141" id="{A06AD768-0E12-4632-BF09-4EF20AD923AD}">
            <xm:f>$Z$8='Assessment Details'!$Q$23</xm:f>
            <x14:dxf>
              <font>
                <color theme="0"/>
              </font>
              <fill>
                <patternFill>
                  <bgColor theme="0"/>
                </patternFill>
              </fill>
            </x14:dxf>
          </x14:cfRule>
          <xm:sqref>X80:Y81</xm:sqref>
        </x14:conditionalFormatting>
        <x14:conditionalFormatting xmlns:xm="http://schemas.microsoft.com/office/excel/2006/main">
          <x14:cfRule type="expression" priority="2140" id="{E77AFA42-6B5D-4DC0-AC7F-5C75A794FC89}">
            <xm:f>$Z$8='Assessment Details'!$Q$23</xm:f>
            <x14:dxf>
              <border>
                <left style="thin">
                  <color theme="0"/>
                </left>
                <right style="thin">
                  <color theme="0"/>
                </right>
                <top style="thin">
                  <color theme="0"/>
                </top>
                <bottom style="thin">
                  <color theme="0"/>
                </bottom>
                <vertical/>
                <horizontal/>
              </border>
            </x14:dxf>
          </x14:cfRule>
          <xm:sqref>X80:Y81</xm:sqref>
        </x14:conditionalFormatting>
        <x14:conditionalFormatting xmlns:xm="http://schemas.microsoft.com/office/excel/2006/main">
          <x14:cfRule type="expression" priority="2126" id="{6BE170C4-1FB8-4BDF-942B-64FC45CD4B36}">
            <xm:f>$Z$8='Assessment Details'!$Q$23</xm:f>
            <x14:dxf>
              <font>
                <color theme="0"/>
              </font>
              <fill>
                <patternFill>
                  <bgColor theme="0"/>
                </patternFill>
              </fill>
            </x14:dxf>
          </x14:cfRule>
          <xm:sqref>U80:U81</xm:sqref>
        </x14:conditionalFormatting>
        <x14:conditionalFormatting xmlns:xm="http://schemas.microsoft.com/office/excel/2006/main">
          <x14:cfRule type="expression" priority="2125" id="{18AE2361-A98A-42D3-96CF-E77AEE8F46B2}">
            <xm:f>$Z$8='Assessment Details'!$Q$23</xm:f>
            <x14:dxf>
              <border>
                <left style="thin">
                  <color theme="0"/>
                </left>
                <right style="thin">
                  <color theme="0"/>
                </right>
                <top style="thin">
                  <color theme="0"/>
                </top>
                <bottom style="thin">
                  <color theme="0"/>
                </bottom>
                <vertical/>
                <horizontal/>
              </border>
            </x14:dxf>
          </x14:cfRule>
          <xm:sqref>U80:U81</xm:sqref>
        </x14:conditionalFormatting>
        <x14:conditionalFormatting xmlns:xm="http://schemas.microsoft.com/office/excel/2006/main">
          <x14:cfRule type="expression" priority="2114" id="{BA419F19-B666-4964-86BA-61594272A086}">
            <xm:f>$S$8='Assessment Details'!$Q$23</xm:f>
            <x14:dxf>
              <font>
                <color theme="0"/>
              </font>
              <fill>
                <patternFill>
                  <bgColor theme="0"/>
                </patternFill>
              </fill>
              <border>
                <vertical/>
                <horizontal/>
              </border>
            </x14:dxf>
          </x14:cfRule>
          <xm:sqref>N83</xm:sqref>
        </x14:conditionalFormatting>
        <x14:conditionalFormatting xmlns:xm="http://schemas.microsoft.com/office/excel/2006/main">
          <x14:cfRule type="expression" priority="2113" id="{7C2E7C01-9625-4B7D-BB98-A2EF414C1587}">
            <xm:f>$S$8='Assessment Details'!$Q$23</xm:f>
            <x14:dxf>
              <border>
                <left style="thin">
                  <color theme="0"/>
                </left>
                <right style="thin">
                  <color theme="0"/>
                </right>
                <top style="thin">
                  <color theme="0"/>
                </top>
                <bottom style="thin">
                  <color theme="0"/>
                </bottom>
                <vertical/>
                <horizontal/>
              </border>
            </x14:dxf>
          </x14:cfRule>
          <xm:sqref>N83</xm:sqref>
        </x14:conditionalFormatting>
        <x14:conditionalFormatting xmlns:xm="http://schemas.microsoft.com/office/excel/2006/main">
          <x14:cfRule type="expression" priority="2112" id="{2599D598-DAC1-4239-AF06-22F4CEEBF02A}">
            <xm:f>$Z$8='Assessment Details'!$Q$23</xm:f>
            <x14:dxf>
              <font>
                <color theme="0"/>
              </font>
              <fill>
                <patternFill>
                  <bgColor theme="0"/>
                </patternFill>
              </fill>
            </x14:dxf>
          </x14:cfRule>
          <xm:sqref>X83:Y83</xm:sqref>
        </x14:conditionalFormatting>
        <x14:conditionalFormatting xmlns:xm="http://schemas.microsoft.com/office/excel/2006/main">
          <x14:cfRule type="expression" priority="2111" id="{17F0D2D1-E694-47EC-BCCB-99EF84D2EBEC}">
            <xm:f>$Z$8='Assessment Details'!$Q$23</xm:f>
            <x14:dxf>
              <border>
                <left style="thin">
                  <color theme="0"/>
                </left>
                <right style="thin">
                  <color theme="0"/>
                </right>
                <top style="thin">
                  <color theme="0"/>
                </top>
                <bottom style="thin">
                  <color theme="0"/>
                </bottom>
                <vertical/>
                <horizontal/>
              </border>
            </x14:dxf>
          </x14:cfRule>
          <xm:sqref>X83:Y83</xm:sqref>
        </x14:conditionalFormatting>
        <x14:conditionalFormatting xmlns:xm="http://schemas.microsoft.com/office/excel/2006/main">
          <x14:cfRule type="expression" priority="2097" id="{D4CEBB18-5A16-48E8-8394-E284801659CC}">
            <xm:f>$Z$8='Assessment Details'!$Q$23</xm:f>
            <x14:dxf>
              <font>
                <color theme="0"/>
              </font>
              <fill>
                <patternFill>
                  <bgColor theme="0"/>
                </patternFill>
              </fill>
            </x14:dxf>
          </x14:cfRule>
          <xm:sqref>U83</xm:sqref>
        </x14:conditionalFormatting>
        <x14:conditionalFormatting xmlns:xm="http://schemas.microsoft.com/office/excel/2006/main">
          <x14:cfRule type="expression" priority="2096" id="{132AA12C-8570-482C-B517-97BC4D3044BA}">
            <xm:f>$Z$8='Assessment Details'!$Q$23</xm:f>
            <x14:dxf>
              <border>
                <left style="thin">
                  <color theme="0"/>
                </left>
                <right style="thin">
                  <color theme="0"/>
                </right>
                <top style="thin">
                  <color theme="0"/>
                </top>
                <bottom style="thin">
                  <color theme="0"/>
                </bottom>
                <vertical/>
                <horizontal/>
              </border>
            </x14:dxf>
          </x14:cfRule>
          <xm:sqref>U83</xm:sqref>
        </x14:conditionalFormatting>
        <x14:conditionalFormatting xmlns:xm="http://schemas.microsoft.com/office/excel/2006/main">
          <x14:cfRule type="expression" priority="2085" id="{8C27B10B-C236-44AF-9911-EDBB50120527}">
            <xm:f>$S$8='Assessment Details'!$Q$23</xm:f>
            <x14:dxf>
              <font>
                <color theme="0"/>
              </font>
              <fill>
                <patternFill>
                  <bgColor theme="0"/>
                </patternFill>
              </fill>
              <border>
                <vertical/>
                <horizontal/>
              </border>
            </x14:dxf>
          </x14:cfRule>
          <xm:sqref>N87:N88</xm:sqref>
        </x14:conditionalFormatting>
        <x14:conditionalFormatting xmlns:xm="http://schemas.microsoft.com/office/excel/2006/main">
          <x14:cfRule type="expression" priority="2084" id="{674A6998-AEE3-4066-906F-6FD4CBB1F6BC}">
            <xm:f>$S$8='Assessment Details'!$Q$23</xm:f>
            <x14:dxf>
              <border>
                <left style="thin">
                  <color theme="0"/>
                </left>
                <right style="thin">
                  <color theme="0"/>
                </right>
                <top style="thin">
                  <color theme="0"/>
                </top>
                <bottom style="thin">
                  <color theme="0"/>
                </bottom>
                <vertical/>
                <horizontal/>
              </border>
            </x14:dxf>
          </x14:cfRule>
          <xm:sqref>N87:N88</xm:sqref>
        </x14:conditionalFormatting>
        <x14:conditionalFormatting xmlns:xm="http://schemas.microsoft.com/office/excel/2006/main">
          <x14:cfRule type="expression" priority="2083" id="{8C07C4CB-E10E-4C06-A90B-18DCA1148E08}">
            <xm:f>$Z$8='Assessment Details'!$Q$23</xm:f>
            <x14:dxf>
              <font>
                <color theme="0"/>
              </font>
              <fill>
                <patternFill>
                  <bgColor theme="0"/>
                </patternFill>
              </fill>
            </x14:dxf>
          </x14:cfRule>
          <xm:sqref>X87:Y88</xm:sqref>
        </x14:conditionalFormatting>
        <x14:conditionalFormatting xmlns:xm="http://schemas.microsoft.com/office/excel/2006/main">
          <x14:cfRule type="expression" priority="2082" id="{20700757-9EE6-4693-825B-207F2301AEF6}">
            <xm:f>$Z$8='Assessment Details'!$Q$23</xm:f>
            <x14:dxf>
              <border>
                <left style="thin">
                  <color theme="0"/>
                </left>
                <right style="thin">
                  <color theme="0"/>
                </right>
                <top style="thin">
                  <color theme="0"/>
                </top>
                <bottom style="thin">
                  <color theme="0"/>
                </bottom>
                <vertical/>
                <horizontal/>
              </border>
            </x14:dxf>
          </x14:cfRule>
          <xm:sqref>X87:Y88</xm:sqref>
        </x14:conditionalFormatting>
        <x14:conditionalFormatting xmlns:xm="http://schemas.microsoft.com/office/excel/2006/main">
          <x14:cfRule type="expression" priority="2068" id="{350E3395-ADF6-4C24-88B5-226CCCB7E2C1}">
            <xm:f>$Z$8='Assessment Details'!$Q$23</xm:f>
            <x14:dxf>
              <font>
                <color theme="0"/>
              </font>
              <fill>
                <patternFill>
                  <bgColor theme="0"/>
                </patternFill>
              </fill>
            </x14:dxf>
          </x14:cfRule>
          <xm:sqref>U87:U88</xm:sqref>
        </x14:conditionalFormatting>
        <x14:conditionalFormatting xmlns:xm="http://schemas.microsoft.com/office/excel/2006/main">
          <x14:cfRule type="expression" priority="2067" id="{282C15CE-13FA-41D8-856D-B17BEF62880E}">
            <xm:f>$Z$8='Assessment Details'!$Q$23</xm:f>
            <x14:dxf>
              <border>
                <left style="thin">
                  <color theme="0"/>
                </left>
                <right style="thin">
                  <color theme="0"/>
                </right>
                <top style="thin">
                  <color theme="0"/>
                </top>
                <bottom style="thin">
                  <color theme="0"/>
                </bottom>
                <vertical/>
                <horizontal/>
              </border>
            </x14:dxf>
          </x14:cfRule>
          <xm:sqref>U87:U88</xm:sqref>
        </x14:conditionalFormatting>
        <x14:conditionalFormatting xmlns:xm="http://schemas.microsoft.com/office/excel/2006/main">
          <x14:cfRule type="expression" priority="2056" id="{F752570C-D2FC-4EFE-83D9-62BB7B2F3170}">
            <xm:f>$S$8='Assessment Details'!$Q$23</xm:f>
            <x14:dxf>
              <font>
                <color theme="0"/>
              </font>
              <fill>
                <patternFill>
                  <bgColor theme="0"/>
                </patternFill>
              </fill>
              <border>
                <vertical/>
                <horizontal/>
              </border>
            </x14:dxf>
          </x14:cfRule>
          <xm:sqref>N90</xm:sqref>
        </x14:conditionalFormatting>
        <x14:conditionalFormatting xmlns:xm="http://schemas.microsoft.com/office/excel/2006/main">
          <x14:cfRule type="expression" priority="2055" id="{AD315150-4F01-4163-BD4B-6271BC05F848}">
            <xm:f>$S$8='Assessment Details'!$Q$23</xm:f>
            <x14:dxf>
              <border>
                <left style="thin">
                  <color theme="0"/>
                </left>
                <right style="thin">
                  <color theme="0"/>
                </right>
                <top style="thin">
                  <color theme="0"/>
                </top>
                <bottom style="thin">
                  <color theme="0"/>
                </bottom>
                <vertical/>
                <horizontal/>
              </border>
            </x14:dxf>
          </x14:cfRule>
          <xm:sqref>N90</xm:sqref>
        </x14:conditionalFormatting>
        <x14:conditionalFormatting xmlns:xm="http://schemas.microsoft.com/office/excel/2006/main">
          <x14:cfRule type="expression" priority="2054" id="{5664C6BB-F929-4B99-B383-9CE7C18DE75F}">
            <xm:f>$Z$8='Assessment Details'!$Q$23</xm:f>
            <x14:dxf>
              <font>
                <color theme="0"/>
              </font>
              <fill>
                <patternFill>
                  <bgColor theme="0"/>
                </patternFill>
              </fill>
            </x14:dxf>
          </x14:cfRule>
          <xm:sqref>X90:Y90</xm:sqref>
        </x14:conditionalFormatting>
        <x14:conditionalFormatting xmlns:xm="http://schemas.microsoft.com/office/excel/2006/main">
          <x14:cfRule type="expression" priority="2053" id="{0BBFF4CF-301E-4067-8F7A-27696B035A2D}">
            <xm:f>$Z$8='Assessment Details'!$Q$23</xm:f>
            <x14:dxf>
              <border>
                <left style="thin">
                  <color theme="0"/>
                </left>
                <right style="thin">
                  <color theme="0"/>
                </right>
                <top style="thin">
                  <color theme="0"/>
                </top>
                <bottom style="thin">
                  <color theme="0"/>
                </bottom>
                <vertical/>
                <horizontal/>
              </border>
            </x14:dxf>
          </x14:cfRule>
          <xm:sqref>X90:Y90</xm:sqref>
        </x14:conditionalFormatting>
        <x14:conditionalFormatting xmlns:xm="http://schemas.microsoft.com/office/excel/2006/main">
          <x14:cfRule type="expression" priority="2039" id="{7723BC43-6FB0-46EE-9682-4EA6458B7550}">
            <xm:f>$Z$8='Assessment Details'!$Q$23</xm:f>
            <x14:dxf>
              <font>
                <color theme="0"/>
              </font>
              <fill>
                <patternFill>
                  <bgColor theme="0"/>
                </patternFill>
              </fill>
            </x14:dxf>
          </x14:cfRule>
          <xm:sqref>U90</xm:sqref>
        </x14:conditionalFormatting>
        <x14:conditionalFormatting xmlns:xm="http://schemas.microsoft.com/office/excel/2006/main">
          <x14:cfRule type="expression" priority="2038" id="{AA88D484-8C09-4A5A-B459-54F1A7625209}">
            <xm:f>$Z$8='Assessment Details'!$Q$23</xm:f>
            <x14:dxf>
              <border>
                <left style="thin">
                  <color theme="0"/>
                </left>
                <right style="thin">
                  <color theme="0"/>
                </right>
                <top style="thin">
                  <color theme="0"/>
                </top>
                <bottom style="thin">
                  <color theme="0"/>
                </bottom>
                <vertical/>
                <horizontal/>
              </border>
            </x14:dxf>
          </x14:cfRule>
          <xm:sqref>U90</xm:sqref>
        </x14:conditionalFormatting>
        <x14:conditionalFormatting xmlns:xm="http://schemas.microsoft.com/office/excel/2006/main">
          <x14:cfRule type="expression" priority="2027" id="{C07C2A46-91E7-4772-8CA9-25391F1186D4}">
            <xm:f>$S$8='Assessment Details'!$Q$23</xm:f>
            <x14:dxf>
              <font>
                <color theme="0"/>
              </font>
              <fill>
                <patternFill>
                  <bgColor theme="0"/>
                </patternFill>
              </fill>
              <border>
                <vertical/>
                <horizontal/>
              </border>
            </x14:dxf>
          </x14:cfRule>
          <xm:sqref>N95:N96</xm:sqref>
        </x14:conditionalFormatting>
        <x14:conditionalFormatting xmlns:xm="http://schemas.microsoft.com/office/excel/2006/main">
          <x14:cfRule type="expression" priority="2026" id="{577E7415-B426-4761-969E-525C3026E8FA}">
            <xm:f>$S$8='Assessment Details'!$Q$23</xm:f>
            <x14:dxf>
              <border>
                <left style="thin">
                  <color theme="0"/>
                </left>
                <right style="thin">
                  <color theme="0"/>
                </right>
                <top style="thin">
                  <color theme="0"/>
                </top>
                <bottom style="thin">
                  <color theme="0"/>
                </bottom>
                <vertical/>
                <horizontal/>
              </border>
            </x14:dxf>
          </x14:cfRule>
          <xm:sqref>N95:N96</xm:sqref>
        </x14:conditionalFormatting>
        <x14:conditionalFormatting xmlns:xm="http://schemas.microsoft.com/office/excel/2006/main">
          <x14:cfRule type="expression" priority="2025" id="{0F38F094-9045-4951-98A8-D95A67FBEFE2}">
            <xm:f>$Z$8='Assessment Details'!$Q$23</xm:f>
            <x14:dxf>
              <font>
                <color theme="0"/>
              </font>
              <fill>
                <patternFill>
                  <bgColor theme="0"/>
                </patternFill>
              </fill>
            </x14:dxf>
          </x14:cfRule>
          <xm:sqref>X95:Y96</xm:sqref>
        </x14:conditionalFormatting>
        <x14:conditionalFormatting xmlns:xm="http://schemas.microsoft.com/office/excel/2006/main">
          <x14:cfRule type="expression" priority="2024" id="{3FA31538-631E-45F9-85FD-CFBABEAACC6A}">
            <xm:f>$Z$8='Assessment Details'!$Q$23</xm:f>
            <x14:dxf>
              <border>
                <left style="thin">
                  <color theme="0"/>
                </left>
                <right style="thin">
                  <color theme="0"/>
                </right>
                <top style="thin">
                  <color theme="0"/>
                </top>
                <bottom style="thin">
                  <color theme="0"/>
                </bottom>
                <vertical/>
                <horizontal/>
              </border>
            </x14:dxf>
          </x14:cfRule>
          <xm:sqref>X95:Y96</xm:sqref>
        </x14:conditionalFormatting>
        <x14:conditionalFormatting xmlns:xm="http://schemas.microsoft.com/office/excel/2006/main">
          <x14:cfRule type="expression" priority="2010" id="{7AB54FE5-B9DA-4EA7-A9E5-953C8B3C0473}">
            <xm:f>$Z$8='Assessment Details'!$Q$23</xm:f>
            <x14:dxf>
              <font>
                <color theme="0"/>
              </font>
              <fill>
                <patternFill>
                  <bgColor theme="0"/>
                </patternFill>
              </fill>
            </x14:dxf>
          </x14:cfRule>
          <xm:sqref>U95:U96</xm:sqref>
        </x14:conditionalFormatting>
        <x14:conditionalFormatting xmlns:xm="http://schemas.microsoft.com/office/excel/2006/main">
          <x14:cfRule type="expression" priority="2009" id="{1A327D6A-84EE-4B73-BBC3-DA9F1F71661F}">
            <xm:f>$Z$8='Assessment Details'!$Q$23</xm:f>
            <x14:dxf>
              <border>
                <left style="thin">
                  <color theme="0"/>
                </left>
                <right style="thin">
                  <color theme="0"/>
                </right>
                <top style="thin">
                  <color theme="0"/>
                </top>
                <bottom style="thin">
                  <color theme="0"/>
                </bottom>
                <vertical/>
                <horizontal/>
              </border>
            </x14:dxf>
          </x14:cfRule>
          <xm:sqref>U95:U96</xm:sqref>
        </x14:conditionalFormatting>
        <x14:conditionalFormatting xmlns:xm="http://schemas.microsoft.com/office/excel/2006/main">
          <x14:cfRule type="expression" priority="1998" id="{C3940A50-D42F-4EE2-9290-3CFB7F8B7535}">
            <xm:f>$S$8='Assessment Details'!$Q$23</xm:f>
            <x14:dxf>
              <font>
                <color theme="0"/>
              </font>
              <fill>
                <patternFill>
                  <bgColor theme="0"/>
                </patternFill>
              </fill>
              <border>
                <vertical/>
                <horizontal/>
              </border>
            </x14:dxf>
          </x14:cfRule>
          <xm:sqref>N99</xm:sqref>
        </x14:conditionalFormatting>
        <x14:conditionalFormatting xmlns:xm="http://schemas.microsoft.com/office/excel/2006/main">
          <x14:cfRule type="expression" priority="1997" id="{043B8E32-32E3-4AF6-AF54-5D4F904BBCBE}">
            <xm:f>$S$8='Assessment Details'!$Q$23</xm:f>
            <x14:dxf>
              <border>
                <left style="thin">
                  <color theme="0"/>
                </left>
                <right style="thin">
                  <color theme="0"/>
                </right>
                <top style="thin">
                  <color theme="0"/>
                </top>
                <bottom style="thin">
                  <color theme="0"/>
                </bottom>
                <vertical/>
                <horizontal/>
              </border>
            </x14:dxf>
          </x14:cfRule>
          <xm:sqref>N99</xm:sqref>
        </x14:conditionalFormatting>
        <x14:conditionalFormatting xmlns:xm="http://schemas.microsoft.com/office/excel/2006/main">
          <x14:cfRule type="expression" priority="1996" id="{5E88E285-50C1-45B0-8809-FE6EE42280C1}">
            <xm:f>$Z$8='Assessment Details'!$Q$23</xm:f>
            <x14:dxf>
              <font>
                <color theme="0"/>
              </font>
              <fill>
                <patternFill>
                  <bgColor theme="0"/>
                </patternFill>
              </fill>
            </x14:dxf>
          </x14:cfRule>
          <xm:sqref>X99:Y99</xm:sqref>
        </x14:conditionalFormatting>
        <x14:conditionalFormatting xmlns:xm="http://schemas.microsoft.com/office/excel/2006/main">
          <x14:cfRule type="expression" priority="1995" id="{B2A6B52D-816E-4EA0-B131-D139B7B3810A}">
            <xm:f>$Z$8='Assessment Details'!$Q$23</xm:f>
            <x14:dxf>
              <border>
                <left style="thin">
                  <color theme="0"/>
                </left>
                <right style="thin">
                  <color theme="0"/>
                </right>
                <top style="thin">
                  <color theme="0"/>
                </top>
                <bottom style="thin">
                  <color theme="0"/>
                </bottom>
                <vertical/>
                <horizontal/>
              </border>
            </x14:dxf>
          </x14:cfRule>
          <xm:sqref>X99:Y99</xm:sqref>
        </x14:conditionalFormatting>
        <x14:conditionalFormatting xmlns:xm="http://schemas.microsoft.com/office/excel/2006/main">
          <x14:cfRule type="expression" priority="1981" id="{14EED676-A4E1-4BFD-83F8-AA561679BBD0}">
            <xm:f>$Z$8='Assessment Details'!$Q$23</xm:f>
            <x14:dxf>
              <font>
                <color theme="0"/>
              </font>
              <fill>
                <patternFill>
                  <bgColor theme="0"/>
                </patternFill>
              </fill>
            </x14:dxf>
          </x14:cfRule>
          <xm:sqref>U99</xm:sqref>
        </x14:conditionalFormatting>
        <x14:conditionalFormatting xmlns:xm="http://schemas.microsoft.com/office/excel/2006/main">
          <x14:cfRule type="expression" priority="1980" id="{6AAD1F98-0862-4CC9-897D-B8E6FDC1C8BC}">
            <xm:f>$Z$8='Assessment Details'!$Q$23</xm:f>
            <x14:dxf>
              <border>
                <left style="thin">
                  <color theme="0"/>
                </left>
                <right style="thin">
                  <color theme="0"/>
                </right>
                <top style="thin">
                  <color theme="0"/>
                </top>
                <bottom style="thin">
                  <color theme="0"/>
                </bottom>
                <vertical/>
                <horizontal/>
              </border>
            </x14:dxf>
          </x14:cfRule>
          <xm:sqref>U99</xm:sqref>
        </x14:conditionalFormatting>
        <x14:conditionalFormatting xmlns:xm="http://schemas.microsoft.com/office/excel/2006/main">
          <x14:cfRule type="expression" priority="1969" id="{05D3D8DE-BD18-4CBC-981F-4F808F1B62C2}">
            <xm:f>$S$8='Assessment Details'!$Q$23</xm:f>
            <x14:dxf>
              <font>
                <color theme="0"/>
              </font>
              <fill>
                <patternFill>
                  <bgColor theme="0"/>
                </patternFill>
              </fill>
              <border>
                <vertical/>
                <horizontal/>
              </border>
            </x14:dxf>
          </x14:cfRule>
          <xm:sqref>N105</xm:sqref>
        </x14:conditionalFormatting>
        <x14:conditionalFormatting xmlns:xm="http://schemas.microsoft.com/office/excel/2006/main">
          <x14:cfRule type="expression" priority="1968" id="{D68BEC66-5F6C-41F5-BE6C-DE5764BF0DC1}">
            <xm:f>$S$8='Assessment Details'!$Q$23</xm:f>
            <x14:dxf>
              <border>
                <left style="thin">
                  <color theme="0"/>
                </left>
                <right style="thin">
                  <color theme="0"/>
                </right>
                <top style="thin">
                  <color theme="0"/>
                </top>
                <bottom style="thin">
                  <color theme="0"/>
                </bottom>
                <vertical/>
                <horizontal/>
              </border>
            </x14:dxf>
          </x14:cfRule>
          <xm:sqref>N105</xm:sqref>
        </x14:conditionalFormatting>
        <x14:conditionalFormatting xmlns:xm="http://schemas.microsoft.com/office/excel/2006/main">
          <x14:cfRule type="expression" priority="1967" id="{441C8689-B4E2-429B-9CEA-778569C7C540}">
            <xm:f>$Z$8='Assessment Details'!$Q$23</xm:f>
            <x14:dxf>
              <font>
                <color theme="0"/>
              </font>
              <fill>
                <patternFill>
                  <bgColor theme="0"/>
                </patternFill>
              </fill>
            </x14:dxf>
          </x14:cfRule>
          <xm:sqref>X105:Y105</xm:sqref>
        </x14:conditionalFormatting>
        <x14:conditionalFormatting xmlns:xm="http://schemas.microsoft.com/office/excel/2006/main">
          <x14:cfRule type="expression" priority="1966" id="{EF608D6E-1539-43FF-B8D6-278AB35159A5}">
            <xm:f>$Z$8='Assessment Details'!$Q$23</xm:f>
            <x14:dxf>
              <border>
                <left style="thin">
                  <color theme="0"/>
                </left>
                <right style="thin">
                  <color theme="0"/>
                </right>
                <top style="thin">
                  <color theme="0"/>
                </top>
                <bottom style="thin">
                  <color theme="0"/>
                </bottom>
                <vertical/>
                <horizontal/>
              </border>
            </x14:dxf>
          </x14:cfRule>
          <xm:sqref>X105:Y105</xm:sqref>
        </x14:conditionalFormatting>
        <x14:conditionalFormatting xmlns:xm="http://schemas.microsoft.com/office/excel/2006/main">
          <x14:cfRule type="expression" priority="1952" id="{B49C92F3-AEF9-4881-A227-621B03AEB48F}">
            <xm:f>$Z$8='Assessment Details'!$Q$23</xm:f>
            <x14:dxf>
              <font>
                <color theme="0"/>
              </font>
              <fill>
                <patternFill>
                  <bgColor theme="0"/>
                </patternFill>
              </fill>
            </x14:dxf>
          </x14:cfRule>
          <xm:sqref>U105</xm:sqref>
        </x14:conditionalFormatting>
        <x14:conditionalFormatting xmlns:xm="http://schemas.microsoft.com/office/excel/2006/main">
          <x14:cfRule type="expression" priority="1951" id="{79A0753E-D3CE-44B3-8FBC-8CBD2433E18D}">
            <xm:f>$Z$8='Assessment Details'!$Q$23</xm:f>
            <x14:dxf>
              <border>
                <left style="thin">
                  <color theme="0"/>
                </left>
                <right style="thin">
                  <color theme="0"/>
                </right>
                <top style="thin">
                  <color theme="0"/>
                </top>
                <bottom style="thin">
                  <color theme="0"/>
                </bottom>
                <vertical/>
                <horizontal/>
              </border>
            </x14:dxf>
          </x14:cfRule>
          <xm:sqref>U105</xm:sqref>
        </x14:conditionalFormatting>
        <x14:conditionalFormatting xmlns:xm="http://schemas.microsoft.com/office/excel/2006/main">
          <x14:cfRule type="expression" priority="1940" id="{7B2A31D0-1B1D-40B1-A127-9805B0DD5AF0}">
            <xm:f>$S$8='Assessment Details'!$Q$23</xm:f>
            <x14:dxf>
              <font>
                <color theme="0"/>
              </font>
              <fill>
                <patternFill>
                  <bgColor theme="0"/>
                </patternFill>
              </fill>
              <border>
                <vertical/>
                <horizontal/>
              </border>
            </x14:dxf>
          </x14:cfRule>
          <xm:sqref>N107</xm:sqref>
        </x14:conditionalFormatting>
        <x14:conditionalFormatting xmlns:xm="http://schemas.microsoft.com/office/excel/2006/main">
          <x14:cfRule type="expression" priority="1939" id="{E6FA7601-77CD-4AE7-992B-729BB6BD7E1A}">
            <xm:f>$S$8='Assessment Details'!$Q$23</xm:f>
            <x14:dxf>
              <border>
                <left style="thin">
                  <color theme="0"/>
                </left>
                <right style="thin">
                  <color theme="0"/>
                </right>
                <top style="thin">
                  <color theme="0"/>
                </top>
                <bottom style="thin">
                  <color theme="0"/>
                </bottom>
                <vertical/>
                <horizontal/>
              </border>
            </x14:dxf>
          </x14:cfRule>
          <xm:sqref>N107</xm:sqref>
        </x14:conditionalFormatting>
        <x14:conditionalFormatting xmlns:xm="http://schemas.microsoft.com/office/excel/2006/main">
          <x14:cfRule type="expression" priority="1938" id="{424714F3-BE21-4E51-B5AE-058A206714D5}">
            <xm:f>$Z$8='Assessment Details'!$Q$23</xm:f>
            <x14:dxf>
              <font>
                <color theme="0"/>
              </font>
              <fill>
                <patternFill>
                  <bgColor theme="0"/>
                </patternFill>
              </fill>
            </x14:dxf>
          </x14:cfRule>
          <xm:sqref>X107:Y107</xm:sqref>
        </x14:conditionalFormatting>
        <x14:conditionalFormatting xmlns:xm="http://schemas.microsoft.com/office/excel/2006/main">
          <x14:cfRule type="expression" priority="1937" id="{F5867DB7-16F4-4BFC-BCBE-34DBD34DF362}">
            <xm:f>$Z$8='Assessment Details'!$Q$23</xm:f>
            <x14:dxf>
              <border>
                <left style="thin">
                  <color theme="0"/>
                </left>
                <right style="thin">
                  <color theme="0"/>
                </right>
                <top style="thin">
                  <color theme="0"/>
                </top>
                <bottom style="thin">
                  <color theme="0"/>
                </bottom>
                <vertical/>
                <horizontal/>
              </border>
            </x14:dxf>
          </x14:cfRule>
          <xm:sqref>X107:Y107</xm:sqref>
        </x14:conditionalFormatting>
        <x14:conditionalFormatting xmlns:xm="http://schemas.microsoft.com/office/excel/2006/main">
          <x14:cfRule type="expression" priority="1923" id="{4A476CF7-E041-4E3A-99FF-8438380D39EC}">
            <xm:f>$Z$8='Assessment Details'!$Q$23</xm:f>
            <x14:dxf>
              <font>
                <color theme="0"/>
              </font>
              <fill>
                <patternFill>
                  <bgColor theme="0"/>
                </patternFill>
              </fill>
            </x14:dxf>
          </x14:cfRule>
          <xm:sqref>U107</xm:sqref>
        </x14:conditionalFormatting>
        <x14:conditionalFormatting xmlns:xm="http://schemas.microsoft.com/office/excel/2006/main">
          <x14:cfRule type="expression" priority="1922" id="{F62E1726-0408-441A-A6AF-C3E7A5ECAD32}">
            <xm:f>$Z$8='Assessment Details'!$Q$23</xm:f>
            <x14:dxf>
              <border>
                <left style="thin">
                  <color theme="0"/>
                </left>
                <right style="thin">
                  <color theme="0"/>
                </right>
                <top style="thin">
                  <color theme="0"/>
                </top>
                <bottom style="thin">
                  <color theme="0"/>
                </bottom>
                <vertical/>
                <horizontal/>
              </border>
            </x14:dxf>
          </x14:cfRule>
          <xm:sqref>U107</xm:sqref>
        </x14:conditionalFormatting>
        <x14:conditionalFormatting xmlns:xm="http://schemas.microsoft.com/office/excel/2006/main">
          <x14:cfRule type="expression" priority="1911" id="{32892BEA-02D1-45A9-8A5E-FD88AD203770}">
            <xm:f>$S$8='Assessment Details'!$Q$23</xm:f>
            <x14:dxf>
              <font>
                <color theme="0"/>
              </font>
              <fill>
                <patternFill>
                  <bgColor theme="0"/>
                </patternFill>
              </fill>
              <border>
                <vertical/>
                <horizontal/>
              </border>
            </x14:dxf>
          </x14:cfRule>
          <xm:sqref>N109:N111</xm:sqref>
        </x14:conditionalFormatting>
        <x14:conditionalFormatting xmlns:xm="http://schemas.microsoft.com/office/excel/2006/main">
          <x14:cfRule type="expression" priority="1910" id="{0CC88DFC-5A80-49DF-8B48-B6A3B1455E8E}">
            <xm:f>$S$8='Assessment Details'!$Q$23</xm:f>
            <x14:dxf>
              <border>
                <left style="thin">
                  <color theme="0"/>
                </left>
                <right style="thin">
                  <color theme="0"/>
                </right>
                <top style="thin">
                  <color theme="0"/>
                </top>
                <bottom style="thin">
                  <color theme="0"/>
                </bottom>
                <vertical/>
                <horizontal/>
              </border>
            </x14:dxf>
          </x14:cfRule>
          <xm:sqref>N109:N111</xm:sqref>
        </x14:conditionalFormatting>
        <x14:conditionalFormatting xmlns:xm="http://schemas.microsoft.com/office/excel/2006/main">
          <x14:cfRule type="expression" priority="1909" id="{B3A5F764-8080-490B-A02D-C22DA6F0062A}">
            <xm:f>$Z$8='Assessment Details'!$Q$23</xm:f>
            <x14:dxf>
              <font>
                <color theme="0"/>
              </font>
              <fill>
                <patternFill>
                  <bgColor theme="0"/>
                </patternFill>
              </fill>
            </x14:dxf>
          </x14:cfRule>
          <xm:sqref>X109:Y111</xm:sqref>
        </x14:conditionalFormatting>
        <x14:conditionalFormatting xmlns:xm="http://schemas.microsoft.com/office/excel/2006/main">
          <x14:cfRule type="expression" priority="1908" id="{45E4DBE2-E841-4A11-8D13-23BBA2767A47}">
            <xm:f>$Z$8='Assessment Details'!$Q$23</xm:f>
            <x14:dxf>
              <border>
                <left style="thin">
                  <color theme="0"/>
                </left>
                <right style="thin">
                  <color theme="0"/>
                </right>
                <top style="thin">
                  <color theme="0"/>
                </top>
                <bottom style="thin">
                  <color theme="0"/>
                </bottom>
                <vertical/>
                <horizontal/>
              </border>
            </x14:dxf>
          </x14:cfRule>
          <xm:sqref>X109:Y111</xm:sqref>
        </x14:conditionalFormatting>
        <x14:conditionalFormatting xmlns:xm="http://schemas.microsoft.com/office/excel/2006/main">
          <x14:cfRule type="expression" priority="1894" id="{D72C36D9-F5B6-4AB0-8FB7-C5F40119A46A}">
            <xm:f>$Z$8='Assessment Details'!$Q$23</xm:f>
            <x14:dxf>
              <font>
                <color theme="0"/>
              </font>
              <fill>
                <patternFill>
                  <bgColor theme="0"/>
                </patternFill>
              </fill>
            </x14:dxf>
          </x14:cfRule>
          <xm:sqref>U109:U111</xm:sqref>
        </x14:conditionalFormatting>
        <x14:conditionalFormatting xmlns:xm="http://schemas.microsoft.com/office/excel/2006/main">
          <x14:cfRule type="expression" priority="1893" id="{1E986299-3ACC-45EB-86AF-48B4725B7348}">
            <xm:f>$Z$8='Assessment Details'!$Q$23</xm:f>
            <x14:dxf>
              <border>
                <left style="thin">
                  <color theme="0"/>
                </left>
                <right style="thin">
                  <color theme="0"/>
                </right>
                <top style="thin">
                  <color theme="0"/>
                </top>
                <bottom style="thin">
                  <color theme="0"/>
                </bottom>
                <vertical/>
                <horizontal/>
              </border>
            </x14:dxf>
          </x14:cfRule>
          <xm:sqref>U109:U111</xm:sqref>
        </x14:conditionalFormatting>
        <x14:conditionalFormatting xmlns:xm="http://schemas.microsoft.com/office/excel/2006/main">
          <x14:cfRule type="expression" priority="1882" id="{68C9DA0A-41E6-4F15-A030-01D389F3B82A}">
            <xm:f>$S$8='Assessment Details'!$Q$23</xm:f>
            <x14:dxf>
              <font>
                <color theme="0"/>
              </font>
              <fill>
                <patternFill>
                  <bgColor theme="0"/>
                </patternFill>
              </fill>
              <border>
                <vertical/>
                <horizontal/>
              </border>
            </x14:dxf>
          </x14:cfRule>
          <xm:sqref>N113</xm:sqref>
        </x14:conditionalFormatting>
        <x14:conditionalFormatting xmlns:xm="http://schemas.microsoft.com/office/excel/2006/main">
          <x14:cfRule type="expression" priority="1881" id="{465F5CC7-097C-46A4-B3E3-D5C4711C66D2}">
            <xm:f>$S$8='Assessment Details'!$Q$23</xm:f>
            <x14:dxf>
              <border>
                <left style="thin">
                  <color theme="0"/>
                </left>
                <right style="thin">
                  <color theme="0"/>
                </right>
                <top style="thin">
                  <color theme="0"/>
                </top>
                <bottom style="thin">
                  <color theme="0"/>
                </bottom>
                <vertical/>
                <horizontal/>
              </border>
            </x14:dxf>
          </x14:cfRule>
          <xm:sqref>N113</xm:sqref>
        </x14:conditionalFormatting>
        <x14:conditionalFormatting xmlns:xm="http://schemas.microsoft.com/office/excel/2006/main">
          <x14:cfRule type="expression" priority="1880" id="{B09F6E3B-E8D4-4827-A0F3-C8817143544E}">
            <xm:f>$Z$8='Assessment Details'!$Q$23</xm:f>
            <x14:dxf>
              <font>
                <color theme="0"/>
              </font>
              <fill>
                <patternFill>
                  <bgColor theme="0"/>
                </patternFill>
              </fill>
            </x14:dxf>
          </x14:cfRule>
          <xm:sqref>X113:Y113</xm:sqref>
        </x14:conditionalFormatting>
        <x14:conditionalFormatting xmlns:xm="http://schemas.microsoft.com/office/excel/2006/main">
          <x14:cfRule type="expression" priority="1879" id="{FA46903B-E196-4B2F-AA44-27F41C6DA8AE}">
            <xm:f>$Z$8='Assessment Details'!$Q$23</xm:f>
            <x14:dxf>
              <border>
                <left style="thin">
                  <color theme="0"/>
                </left>
                <right style="thin">
                  <color theme="0"/>
                </right>
                <top style="thin">
                  <color theme="0"/>
                </top>
                <bottom style="thin">
                  <color theme="0"/>
                </bottom>
                <vertical/>
                <horizontal/>
              </border>
            </x14:dxf>
          </x14:cfRule>
          <xm:sqref>X113:Y113</xm:sqref>
        </x14:conditionalFormatting>
        <x14:conditionalFormatting xmlns:xm="http://schemas.microsoft.com/office/excel/2006/main">
          <x14:cfRule type="expression" priority="1865" id="{9242C56E-CA89-438D-AEA3-F07652B9C657}">
            <xm:f>$Z$8='Assessment Details'!$Q$23</xm:f>
            <x14:dxf>
              <font>
                <color theme="0"/>
              </font>
              <fill>
                <patternFill>
                  <bgColor theme="0"/>
                </patternFill>
              </fill>
            </x14:dxf>
          </x14:cfRule>
          <xm:sqref>U113</xm:sqref>
        </x14:conditionalFormatting>
        <x14:conditionalFormatting xmlns:xm="http://schemas.microsoft.com/office/excel/2006/main">
          <x14:cfRule type="expression" priority="1864" id="{7730D062-E525-41F5-8B6A-F8A1FB99B752}">
            <xm:f>$Z$8='Assessment Details'!$Q$23</xm:f>
            <x14:dxf>
              <border>
                <left style="thin">
                  <color theme="0"/>
                </left>
                <right style="thin">
                  <color theme="0"/>
                </right>
                <top style="thin">
                  <color theme="0"/>
                </top>
                <bottom style="thin">
                  <color theme="0"/>
                </bottom>
                <vertical/>
                <horizontal/>
              </border>
            </x14:dxf>
          </x14:cfRule>
          <xm:sqref>U113</xm:sqref>
        </x14:conditionalFormatting>
        <x14:conditionalFormatting xmlns:xm="http://schemas.microsoft.com/office/excel/2006/main">
          <x14:cfRule type="expression" priority="1853" id="{2A9D427E-F068-408E-9A4C-FE1929F9F5E4}">
            <xm:f>$S$8='Assessment Details'!$Q$23</xm:f>
            <x14:dxf>
              <font>
                <color theme="0"/>
              </font>
              <fill>
                <patternFill>
                  <bgColor theme="0"/>
                </patternFill>
              </fill>
              <border>
                <vertical/>
                <horizontal/>
              </border>
            </x14:dxf>
          </x14:cfRule>
          <xm:sqref>N119</xm:sqref>
        </x14:conditionalFormatting>
        <x14:conditionalFormatting xmlns:xm="http://schemas.microsoft.com/office/excel/2006/main">
          <x14:cfRule type="expression" priority="1852" id="{F70B8EC2-3323-4B73-B934-DBAAEBE485B1}">
            <xm:f>$S$8='Assessment Details'!$Q$23</xm:f>
            <x14:dxf>
              <border>
                <left style="thin">
                  <color theme="0"/>
                </left>
                <right style="thin">
                  <color theme="0"/>
                </right>
                <top style="thin">
                  <color theme="0"/>
                </top>
                <bottom style="thin">
                  <color theme="0"/>
                </bottom>
                <vertical/>
                <horizontal/>
              </border>
            </x14:dxf>
          </x14:cfRule>
          <xm:sqref>N119</xm:sqref>
        </x14:conditionalFormatting>
        <x14:conditionalFormatting xmlns:xm="http://schemas.microsoft.com/office/excel/2006/main">
          <x14:cfRule type="expression" priority="1851" id="{D0EC2C93-38C2-4976-BC0B-22F92CEE26B0}">
            <xm:f>$Z$8='Assessment Details'!$Q$23</xm:f>
            <x14:dxf>
              <font>
                <color theme="0"/>
              </font>
              <fill>
                <patternFill>
                  <bgColor theme="0"/>
                </patternFill>
              </fill>
            </x14:dxf>
          </x14:cfRule>
          <xm:sqref>X118:Y119</xm:sqref>
        </x14:conditionalFormatting>
        <x14:conditionalFormatting xmlns:xm="http://schemas.microsoft.com/office/excel/2006/main">
          <x14:cfRule type="expression" priority="1850" id="{F128472A-ED34-44A1-932D-38AA3104F105}">
            <xm:f>$Z$8='Assessment Details'!$Q$23</xm:f>
            <x14:dxf>
              <border>
                <left style="thin">
                  <color theme="0"/>
                </left>
                <right style="thin">
                  <color theme="0"/>
                </right>
                <top style="thin">
                  <color theme="0"/>
                </top>
                <bottom style="thin">
                  <color theme="0"/>
                </bottom>
                <vertical/>
                <horizontal/>
              </border>
            </x14:dxf>
          </x14:cfRule>
          <xm:sqref>X118:Y119</xm:sqref>
        </x14:conditionalFormatting>
        <x14:conditionalFormatting xmlns:xm="http://schemas.microsoft.com/office/excel/2006/main">
          <x14:cfRule type="expression" priority="1836" id="{6CBC215F-BE7D-4245-AD38-D6540C807748}">
            <xm:f>$Z$8='Assessment Details'!$Q$23</xm:f>
            <x14:dxf>
              <font>
                <color theme="0"/>
              </font>
              <fill>
                <patternFill>
                  <bgColor theme="0"/>
                </patternFill>
              </fill>
            </x14:dxf>
          </x14:cfRule>
          <xm:sqref>U119</xm:sqref>
        </x14:conditionalFormatting>
        <x14:conditionalFormatting xmlns:xm="http://schemas.microsoft.com/office/excel/2006/main">
          <x14:cfRule type="expression" priority="1835" id="{0131B8D1-C936-431C-BCC9-E24458EECDC5}">
            <xm:f>$Z$8='Assessment Details'!$Q$23</xm:f>
            <x14:dxf>
              <border>
                <left style="thin">
                  <color theme="0"/>
                </left>
                <right style="thin">
                  <color theme="0"/>
                </right>
                <top style="thin">
                  <color theme="0"/>
                </top>
                <bottom style="thin">
                  <color theme="0"/>
                </bottom>
                <vertical/>
                <horizontal/>
              </border>
            </x14:dxf>
          </x14:cfRule>
          <xm:sqref>U119</xm:sqref>
        </x14:conditionalFormatting>
        <x14:conditionalFormatting xmlns:xm="http://schemas.microsoft.com/office/excel/2006/main">
          <x14:cfRule type="expression" priority="1824" id="{5EEE7B26-7396-44F8-ABF7-24978A46B1C3}">
            <xm:f>$S$8='Assessment Details'!$Q$23</xm:f>
            <x14:dxf>
              <font>
                <color theme="0"/>
              </font>
              <fill>
                <patternFill>
                  <bgColor theme="0"/>
                </patternFill>
              </fill>
              <border>
                <vertical/>
                <horizontal/>
              </border>
            </x14:dxf>
          </x14:cfRule>
          <xm:sqref>N120</xm:sqref>
        </x14:conditionalFormatting>
        <x14:conditionalFormatting xmlns:xm="http://schemas.microsoft.com/office/excel/2006/main">
          <x14:cfRule type="expression" priority="1823" id="{A8975BC4-D1ED-4A55-BFF5-4EF4B3D0E2D2}">
            <xm:f>$S$8='Assessment Details'!$Q$23</xm:f>
            <x14:dxf>
              <border>
                <left style="thin">
                  <color theme="0"/>
                </left>
                <right style="thin">
                  <color theme="0"/>
                </right>
                <top style="thin">
                  <color theme="0"/>
                </top>
                <bottom style="thin">
                  <color theme="0"/>
                </bottom>
                <vertical/>
                <horizontal/>
              </border>
            </x14:dxf>
          </x14:cfRule>
          <xm:sqref>N120</xm:sqref>
        </x14:conditionalFormatting>
        <x14:conditionalFormatting xmlns:xm="http://schemas.microsoft.com/office/excel/2006/main">
          <x14:cfRule type="expression" priority="1822" id="{23A9E5FA-49A4-4977-BD8C-4BFBBC074599}">
            <xm:f>$Z$8='Assessment Details'!$Q$23</xm:f>
            <x14:dxf>
              <font>
                <color theme="0"/>
              </font>
              <fill>
                <patternFill>
                  <bgColor theme="0"/>
                </patternFill>
              </fill>
            </x14:dxf>
          </x14:cfRule>
          <xm:sqref>X120:Y120</xm:sqref>
        </x14:conditionalFormatting>
        <x14:conditionalFormatting xmlns:xm="http://schemas.microsoft.com/office/excel/2006/main">
          <x14:cfRule type="expression" priority="1821" id="{5B988751-BAC6-4E77-BD88-FA97DAFB6FAC}">
            <xm:f>$Z$8='Assessment Details'!$Q$23</xm:f>
            <x14:dxf>
              <border>
                <left style="thin">
                  <color theme="0"/>
                </left>
                <right style="thin">
                  <color theme="0"/>
                </right>
                <top style="thin">
                  <color theme="0"/>
                </top>
                <bottom style="thin">
                  <color theme="0"/>
                </bottom>
                <vertical/>
                <horizontal/>
              </border>
            </x14:dxf>
          </x14:cfRule>
          <xm:sqref>X120:Y120</xm:sqref>
        </x14:conditionalFormatting>
        <x14:conditionalFormatting xmlns:xm="http://schemas.microsoft.com/office/excel/2006/main">
          <x14:cfRule type="expression" priority="1807" id="{25A8BB2B-FA58-4854-B931-12D08C4D10E1}">
            <xm:f>$Z$8='Assessment Details'!$Q$23</xm:f>
            <x14:dxf>
              <font>
                <color theme="0"/>
              </font>
              <fill>
                <patternFill>
                  <bgColor theme="0"/>
                </patternFill>
              </fill>
            </x14:dxf>
          </x14:cfRule>
          <xm:sqref>U120</xm:sqref>
        </x14:conditionalFormatting>
        <x14:conditionalFormatting xmlns:xm="http://schemas.microsoft.com/office/excel/2006/main">
          <x14:cfRule type="expression" priority="1806" id="{101DB69E-756E-4F0C-B9F7-8E8E0215D90A}">
            <xm:f>$Z$8='Assessment Details'!$Q$23</xm:f>
            <x14:dxf>
              <border>
                <left style="thin">
                  <color theme="0"/>
                </left>
                <right style="thin">
                  <color theme="0"/>
                </right>
                <top style="thin">
                  <color theme="0"/>
                </top>
                <bottom style="thin">
                  <color theme="0"/>
                </bottom>
                <vertical/>
                <horizontal/>
              </border>
            </x14:dxf>
          </x14:cfRule>
          <xm:sqref>U120</xm:sqref>
        </x14:conditionalFormatting>
        <x14:conditionalFormatting xmlns:xm="http://schemas.microsoft.com/office/excel/2006/main">
          <x14:cfRule type="expression" priority="1795" id="{4EF6E49C-BED4-406F-BE87-7B0360FDAB67}">
            <xm:f>$S$8='Assessment Details'!$Q$23</xm:f>
            <x14:dxf>
              <font>
                <color theme="0"/>
              </font>
              <fill>
                <patternFill>
                  <bgColor theme="0"/>
                </patternFill>
              </fill>
              <border>
                <vertical/>
                <horizontal/>
              </border>
            </x14:dxf>
          </x14:cfRule>
          <xm:sqref>N123:N124</xm:sqref>
        </x14:conditionalFormatting>
        <x14:conditionalFormatting xmlns:xm="http://schemas.microsoft.com/office/excel/2006/main">
          <x14:cfRule type="expression" priority="1794" id="{D3C34911-69F8-48A1-B6ED-DE82D42E819B}">
            <xm:f>$S$8='Assessment Details'!$Q$23</xm:f>
            <x14:dxf>
              <border>
                <left style="thin">
                  <color theme="0"/>
                </left>
                <right style="thin">
                  <color theme="0"/>
                </right>
                <top style="thin">
                  <color theme="0"/>
                </top>
                <bottom style="thin">
                  <color theme="0"/>
                </bottom>
                <vertical/>
                <horizontal/>
              </border>
            </x14:dxf>
          </x14:cfRule>
          <xm:sqref>N123:N124</xm:sqref>
        </x14:conditionalFormatting>
        <x14:conditionalFormatting xmlns:xm="http://schemas.microsoft.com/office/excel/2006/main">
          <x14:cfRule type="expression" priority="1793" id="{50060DB4-2C50-4831-A3DC-1D9336373361}">
            <xm:f>$Z$8='Assessment Details'!$Q$23</xm:f>
            <x14:dxf>
              <font>
                <color theme="0"/>
              </font>
              <fill>
                <patternFill>
                  <bgColor theme="0"/>
                </patternFill>
              </fill>
            </x14:dxf>
          </x14:cfRule>
          <xm:sqref>X122:Y124</xm:sqref>
        </x14:conditionalFormatting>
        <x14:conditionalFormatting xmlns:xm="http://schemas.microsoft.com/office/excel/2006/main">
          <x14:cfRule type="expression" priority="1792" id="{CF922480-7679-4BE3-8DC7-0D0FFD64470E}">
            <xm:f>$Z$8='Assessment Details'!$Q$23</xm:f>
            <x14:dxf>
              <border>
                <left style="thin">
                  <color theme="0"/>
                </left>
                <right style="thin">
                  <color theme="0"/>
                </right>
                <top style="thin">
                  <color theme="0"/>
                </top>
                <bottom style="thin">
                  <color theme="0"/>
                </bottom>
                <vertical/>
                <horizontal/>
              </border>
            </x14:dxf>
          </x14:cfRule>
          <xm:sqref>X122:Y124</xm:sqref>
        </x14:conditionalFormatting>
        <x14:conditionalFormatting xmlns:xm="http://schemas.microsoft.com/office/excel/2006/main">
          <x14:cfRule type="expression" priority="1778" id="{4A45FB35-FE9A-46BB-B9AD-F40678324215}">
            <xm:f>$Z$8='Assessment Details'!$Q$23</xm:f>
            <x14:dxf>
              <font>
                <color theme="0"/>
              </font>
              <fill>
                <patternFill>
                  <bgColor theme="0"/>
                </patternFill>
              </fill>
            </x14:dxf>
          </x14:cfRule>
          <xm:sqref>U123:U124</xm:sqref>
        </x14:conditionalFormatting>
        <x14:conditionalFormatting xmlns:xm="http://schemas.microsoft.com/office/excel/2006/main">
          <x14:cfRule type="expression" priority="1777" id="{F7821420-C628-4DF6-8DAC-B0AFE8E5A034}">
            <xm:f>$Z$8='Assessment Details'!$Q$23</xm:f>
            <x14:dxf>
              <border>
                <left style="thin">
                  <color theme="0"/>
                </left>
                <right style="thin">
                  <color theme="0"/>
                </right>
                <top style="thin">
                  <color theme="0"/>
                </top>
                <bottom style="thin">
                  <color theme="0"/>
                </bottom>
                <vertical/>
                <horizontal/>
              </border>
            </x14:dxf>
          </x14:cfRule>
          <xm:sqref>U123:U124</xm:sqref>
        </x14:conditionalFormatting>
        <x14:conditionalFormatting xmlns:xm="http://schemas.microsoft.com/office/excel/2006/main">
          <x14:cfRule type="expression" priority="1766" id="{B92208E3-902A-4A3B-A3BA-3CCAB64D775D}">
            <xm:f>$S$8='Assessment Details'!$Q$23</xm:f>
            <x14:dxf>
              <font>
                <color theme="0"/>
              </font>
              <fill>
                <patternFill>
                  <bgColor theme="0"/>
                </patternFill>
              </fill>
              <border>
                <vertical/>
                <horizontal/>
              </border>
            </x14:dxf>
          </x14:cfRule>
          <xm:sqref>N127:N128</xm:sqref>
        </x14:conditionalFormatting>
        <x14:conditionalFormatting xmlns:xm="http://schemas.microsoft.com/office/excel/2006/main">
          <x14:cfRule type="expression" priority="1765" id="{FC32DA5C-ADDF-4F88-BA91-610EC7A39372}">
            <xm:f>$S$8='Assessment Details'!$Q$23</xm:f>
            <x14:dxf>
              <border>
                <left style="thin">
                  <color theme="0"/>
                </left>
                <right style="thin">
                  <color theme="0"/>
                </right>
                <top style="thin">
                  <color theme="0"/>
                </top>
                <bottom style="thin">
                  <color theme="0"/>
                </bottom>
                <vertical/>
                <horizontal/>
              </border>
            </x14:dxf>
          </x14:cfRule>
          <xm:sqref>N127:N128</xm:sqref>
        </x14:conditionalFormatting>
        <x14:conditionalFormatting xmlns:xm="http://schemas.microsoft.com/office/excel/2006/main">
          <x14:cfRule type="expression" priority="1764" id="{D8C23F1C-454E-4E05-912D-430FD2303616}">
            <xm:f>$Z$8='Assessment Details'!$Q$23</xm:f>
            <x14:dxf>
              <font>
                <color theme="0"/>
              </font>
              <fill>
                <patternFill>
                  <bgColor theme="0"/>
                </patternFill>
              </fill>
            </x14:dxf>
          </x14:cfRule>
          <xm:sqref>X126:Y128</xm:sqref>
        </x14:conditionalFormatting>
        <x14:conditionalFormatting xmlns:xm="http://schemas.microsoft.com/office/excel/2006/main">
          <x14:cfRule type="expression" priority="1763" id="{53437D6B-49B0-41C9-89F4-EEC6C6271F13}">
            <xm:f>$Z$8='Assessment Details'!$Q$23</xm:f>
            <x14:dxf>
              <border>
                <left style="thin">
                  <color theme="0"/>
                </left>
                <right style="thin">
                  <color theme="0"/>
                </right>
                <top style="thin">
                  <color theme="0"/>
                </top>
                <bottom style="thin">
                  <color theme="0"/>
                </bottom>
                <vertical/>
                <horizontal/>
              </border>
            </x14:dxf>
          </x14:cfRule>
          <xm:sqref>X126:Y128</xm:sqref>
        </x14:conditionalFormatting>
        <x14:conditionalFormatting xmlns:xm="http://schemas.microsoft.com/office/excel/2006/main">
          <x14:cfRule type="expression" priority="1749" id="{53C57763-7EE5-400D-89B9-CA43CE3A32A4}">
            <xm:f>$Z$8='Assessment Details'!$Q$23</xm:f>
            <x14:dxf>
              <font>
                <color theme="0"/>
              </font>
              <fill>
                <patternFill>
                  <bgColor theme="0"/>
                </patternFill>
              </fill>
            </x14:dxf>
          </x14:cfRule>
          <xm:sqref>U127:U128</xm:sqref>
        </x14:conditionalFormatting>
        <x14:conditionalFormatting xmlns:xm="http://schemas.microsoft.com/office/excel/2006/main">
          <x14:cfRule type="expression" priority="1748" id="{8BCEF200-DDC5-4E75-94A7-174946B7B2C8}">
            <xm:f>$Z$8='Assessment Details'!$Q$23</xm:f>
            <x14:dxf>
              <border>
                <left style="thin">
                  <color theme="0"/>
                </left>
                <right style="thin">
                  <color theme="0"/>
                </right>
                <top style="thin">
                  <color theme="0"/>
                </top>
                <bottom style="thin">
                  <color theme="0"/>
                </bottom>
                <vertical/>
                <horizontal/>
              </border>
            </x14:dxf>
          </x14:cfRule>
          <xm:sqref>U127:U128</xm:sqref>
        </x14:conditionalFormatting>
        <x14:conditionalFormatting xmlns:xm="http://schemas.microsoft.com/office/excel/2006/main">
          <x14:cfRule type="expression" priority="1737" id="{E0A16678-FC5B-4F26-AF0E-E9AFC51AFB43}">
            <xm:f>$S$8='Assessment Details'!$Q$23</xm:f>
            <x14:dxf>
              <font>
                <color theme="0"/>
              </font>
              <fill>
                <patternFill>
                  <bgColor theme="0"/>
                </patternFill>
              </fill>
              <border>
                <vertical/>
                <horizontal/>
              </border>
            </x14:dxf>
          </x14:cfRule>
          <xm:sqref>N131:N133</xm:sqref>
        </x14:conditionalFormatting>
        <x14:conditionalFormatting xmlns:xm="http://schemas.microsoft.com/office/excel/2006/main">
          <x14:cfRule type="expression" priority="1736" id="{5E2010F1-4E53-4B39-AA66-3C4D0BAC458C}">
            <xm:f>$S$8='Assessment Details'!$Q$23</xm:f>
            <x14:dxf>
              <border>
                <left style="thin">
                  <color theme="0"/>
                </left>
                <right style="thin">
                  <color theme="0"/>
                </right>
                <top style="thin">
                  <color theme="0"/>
                </top>
                <bottom style="thin">
                  <color theme="0"/>
                </bottom>
                <vertical/>
                <horizontal/>
              </border>
            </x14:dxf>
          </x14:cfRule>
          <xm:sqref>N131:N133</xm:sqref>
        </x14:conditionalFormatting>
        <x14:conditionalFormatting xmlns:xm="http://schemas.microsoft.com/office/excel/2006/main">
          <x14:cfRule type="expression" priority="1735" id="{2C445FB8-32E5-4052-ADCA-D641C5E82EFE}">
            <xm:f>$Z$8='Assessment Details'!$Q$23</xm:f>
            <x14:dxf>
              <font>
                <color theme="0"/>
              </font>
              <fill>
                <patternFill>
                  <bgColor theme="0"/>
                </patternFill>
              </fill>
            </x14:dxf>
          </x14:cfRule>
          <xm:sqref>X130:Y133</xm:sqref>
        </x14:conditionalFormatting>
        <x14:conditionalFormatting xmlns:xm="http://schemas.microsoft.com/office/excel/2006/main">
          <x14:cfRule type="expression" priority="1734" id="{7BC0A505-FFBA-48EA-97EA-AB95FD4CDA3E}">
            <xm:f>$Z$8='Assessment Details'!$Q$23</xm:f>
            <x14:dxf>
              <border>
                <left style="thin">
                  <color theme="0"/>
                </left>
                <right style="thin">
                  <color theme="0"/>
                </right>
                <top style="thin">
                  <color theme="0"/>
                </top>
                <bottom style="thin">
                  <color theme="0"/>
                </bottom>
                <vertical/>
                <horizontal/>
              </border>
            </x14:dxf>
          </x14:cfRule>
          <xm:sqref>X130:Y133</xm:sqref>
        </x14:conditionalFormatting>
        <x14:conditionalFormatting xmlns:xm="http://schemas.microsoft.com/office/excel/2006/main">
          <x14:cfRule type="expression" priority="1720" id="{7479CEDE-CE48-46F5-B3CE-3EDBA5F25AB2}">
            <xm:f>$Z$8='Assessment Details'!$Q$23</xm:f>
            <x14:dxf>
              <font>
                <color theme="0"/>
              </font>
              <fill>
                <patternFill>
                  <bgColor theme="0"/>
                </patternFill>
              </fill>
            </x14:dxf>
          </x14:cfRule>
          <xm:sqref>U131:U133</xm:sqref>
        </x14:conditionalFormatting>
        <x14:conditionalFormatting xmlns:xm="http://schemas.microsoft.com/office/excel/2006/main">
          <x14:cfRule type="expression" priority="1719" id="{B059EEFB-8402-4A30-961B-BAAB98C9CA61}">
            <xm:f>$Z$8='Assessment Details'!$Q$23</xm:f>
            <x14:dxf>
              <border>
                <left style="thin">
                  <color theme="0"/>
                </left>
                <right style="thin">
                  <color theme="0"/>
                </right>
                <top style="thin">
                  <color theme="0"/>
                </top>
                <bottom style="thin">
                  <color theme="0"/>
                </bottom>
                <vertical/>
                <horizontal/>
              </border>
            </x14:dxf>
          </x14:cfRule>
          <xm:sqref>U131:U133</xm:sqref>
        </x14:conditionalFormatting>
        <x14:conditionalFormatting xmlns:xm="http://schemas.microsoft.com/office/excel/2006/main">
          <x14:cfRule type="expression" priority="1708" id="{7D2398AA-0000-47A2-9781-B5DDD89E5915}">
            <xm:f>$S$8='Assessment Details'!$Q$23</xm:f>
            <x14:dxf>
              <font>
                <color theme="0"/>
              </font>
              <fill>
                <patternFill>
                  <bgColor theme="0"/>
                </patternFill>
              </fill>
              <border>
                <vertical/>
                <horizontal/>
              </border>
            </x14:dxf>
          </x14:cfRule>
          <xm:sqref>N137:N139</xm:sqref>
        </x14:conditionalFormatting>
        <x14:conditionalFormatting xmlns:xm="http://schemas.microsoft.com/office/excel/2006/main">
          <x14:cfRule type="expression" priority="1707" id="{5C2D7F45-EF4C-4E07-804B-000117299471}">
            <xm:f>$S$8='Assessment Details'!$Q$23</xm:f>
            <x14:dxf>
              <border>
                <left style="thin">
                  <color theme="0"/>
                </left>
                <right style="thin">
                  <color theme="0"/>
                </right>
                <top style="thin">
                  <color theme="0"/>
                </top>
                <bottom style="thin">
                  <color theme="0"/>
                </bottom>
                <vertical/>
                <horizontal/>
              </border>
            </x14:dxf>
          </x14:cfRule>
          <xm:sqref>N137:N139</xm:sqref>
        </x14:conditionalFormatting>
        <x14:conditionalFormatting xmlns:xm="http://schemas.microsoft.com/office/excel/2006/main">
          <x14:cfRule type="expression" priority="1706" id="{1925A519-29FE-47D1-856B-6EBA4E436B5F}">
            <xm:f>$Z$8='Assessment Details'!$Q$23</xm:f>
            <x14:dxf>
              <font>
                <color theme="0"/>
              </font>
              <fill>
                <patternFill>
                  <bgColor theme="0"/>
                </patternFill>
              </fill>
            </x14:dxf>
          </x14:cfRule>
          <xm:sqref>X137:Y139</xm:sqref>
        </x14:conditionalFormatting>
        <x14:conditionalFormatting xmlns:xm="http://schemas.microsoft.com/office/excel/2006/main">
          <x14:cfRule type="expression" priority="1705" id="{45006A04-6D52-4DAB-B815-D4A1E7C191C6}">
            <xm:f>$Z$8='Assessment Details'!$Q$23</xm:f>
            <x14:dxf>
              <border>
                <left style="thin">
                  <color theme="0"/>
                </left>
                <right style="thin">
                  <color theme="0"/>
                </right>
                <top style="thin">
                  <color theme="0"/>
                </top>
                <bottom style="thin">
                  <color theme="0"/>
                </bottom>
                <vertical/>
                <horizontal/>
              </border>
            </x14:dxf>
          </x14:cfRule>
          <xm:sqref>X137:Y139</xm:sqref>
        </x14:conditionalFormatting>
        <x14:conditionalFormatting xmlns:xm="http://schemas.microsoft.com/office/excel/2006/main">
          <x14:cfRule type="expression" priority="1691" id="{4CF5F6A5-1E13-47D3-971E-F3306A90C6A5}">
            <xm:f>$Z$8='Assessment Details'!$Q$23</xm:f>
            <x14:dxf>
              <font>
                <color theme="0"/>
              </font>
              <fill>
                <patternFill>
                  <bgColor theme="0"/>
                </patternFill>
              </fill>
            </x14:dxf>
          </x14:cfRule>
          <xm:sqref>U137:U139</xm:sqref>
        </x14:conditionalFormatting>
        <x14:conditionalFormatting xmlns:xm="http://schemas.microsoft.com/office/excel/2006/main">
          <x14:cfRule type="expression" priority="1690" id="{BDB1FD9F-F546-4D48-8CC0-B2F32DA0D5B9}">
            <xm:f>$Z$8='Assessment Details'!$Q$23</xm:f>
            <x14:dxf>
              <border>
                <left style="thin">
                  <color theme="0"/>
                </left>
                <right style="thin">
                  <color theme="0"/>
                </right>
                <top style="thin">
                  <color theme="0"/>
                </top>
                <bottom style="thin">
                  <color theme="0"/>
                </bottom>
                <vertical/>
                <horizontal/>
              </border>
            </x14:dxf>
          </x14:cfRule>
          <xm:sqref>U137:U139</xm:sqref>
        </x14:conditionalFormatting>
        <x14:conditionalFormatting xmlns:xm="http://schemas.microsoft.com/office/excel/2006/main">
          <x14:cfRule type="expression" priority="1679" id="{67140F08-C9FC-46DD-A0AB-3302CF0056E4}">
            <xm:f>$S$8='Assessment Details'!$Q$23</xm:f>
            <x14:dxf>
              <font>
                <color theme="0"/>
              </font>
              <fill>
                <patternFill>
                  <bgColor theme="0"/>
                </patternFill>
              </fill>
              <border>
                <vertical/>
                <horizontal/>
              </border>
            </x14:dxf>
          </x14:cfRule>
          <xm:sqref>N141:N143</xm:sqref>
        </x14:conditionalFormatting>
        <x14:conditionalFormatting xmlns:xm="http://schemas.microsoft.com/office/excel/2006/main">
          <x14:cfRule type="expression" priority="1678" id="{A85ACC34-0D8B-4107-8A96-E3B853C679FE}">
            <xm:f>$S$8='Assessment Details'!$Q$23</xm:f>
            <x14:dxf>
              <border>
                <left style="thin">
                  <color theme="0"/>
                </left>
                <right style="thin">
                  <color theme="0"/>
                </right>
                <top style="thin">
                  <color theme="0"/>
                </top>
                <bottom style="thin">
                  <color theme="0"/>
                </bottom>
                <vertical/>
                <horizontal/>
              </border>
            </x14:dxf>
          </x14:cfRule>
          <xm:sqref>N141:N143</xm:sqref>
        </x14:conditionalFormatting>
        <x14:conditionalFormatting xmlns:xm="http://schemas.microsoft.com/office/excel/2006/main">
          <x14:cfRule type="expression" priority="1677" id="{032792DF-393A-49F6-90A1-EDD69B8A490F}">
            <xm:f>$Z$8='Assessment Details'!$Q$23</xm:f>
            <x14:dxf>
              <font>
                <color theme="0"/>
              </font>
              <fill>
                <patternFill>
                  <bgColor theme="0"/>
                </patternFill>
              </fill>
            </x14:dxf>
          </x14:cfRule>
          <xm:sqref>X141:Y143</xm:sqref>
        </x14:conditionalFormatting>
        <x14:conditionalFormatting xmlns:xm="http://schemas.microsoft.com/office/excel/2006/main">
          <x14:cfRule type="expression" priority="1676" id="{BC2CB9DA-69B3-45A6-9FCD-E6C9BA123E03}">
            <xm:f>$Z$8='Assessment Details'!$Q$23</xm:f>
            <x14:dxf>
              <border>
                <left style="thin">
                  <color theme="0"/>
                </left>
                <right style="thin">
                  <color theme="0"/>
                </right>
                <top style="thin">
                  <color theme="0"/>
                </top>
                <bottom style="thin">
                  <color theme="0"/>
                </bottom>
                <vertical/>
                <horizontal/>
              </border>
            </x14:dxf>
          </x14:cfRule>
          <xm:sqref>X141:Y143</xm:sqref>
        </x14:conditionalFormatting>
        <x14:conditionalFormatting xmlns:xm="http://schemas.microsoft.com/office/excel/2006/main">
          <x14:cfRule type="expression" priority="1662" id="{3EA07825-143D-4430-A697-A414DBE2A254}">
            <xm:f>$Z$8='Assessment Details'!$Q$23</xm:f>
            <x14:dxf>
              <font>
                <color theme="0"/>
              </font>
              <fill>
                <patternFill>
                  <bgColor theme="0"/>
                </patternFill>
              </fill>
            </x14:dxf>
          </x14:cfRule>
          <xm:sqref>U141:U143</xm:sqref>
        </x14:conditionalFormatting>
        <x14:conditionalFormatting xmlns:xm="http://schemas.microsoft.com/office/excel/2006/main">
          <x14:cfRule type="expression" priority="1661" id="{6F66AE9F-82CF-491A-A146-85F93A24A0EB}">
            <xm:f>$Z$8='Assessment Details'!$Q$23</xm:f>
            <x14:dxf>
              <border>
                <left style="thin">
                  <color theme="0"/>
                </left>
                <right style="thin">
                  <color theme="0"/>
                </right>
                <top style="thin">
                  <color theme="0"/>
                </top>
                <bottom style="thin">
                  <color theme="0"/>
                </bottom>
                <vertical/>
                <horizontal/>
              </border>
            </x14:dxf>
          </x14:cfRule>
          <xm:sqref>U141:U143</xm:sqref>
        </x14:conditionalFormatting>
        <x14:conditionalFormatting xmlns:xm="http://schemas.microsoft.com/office/excel/2006/main">
          <x14:cfRule type="expression" priority="1650" id="{44E17499-C2F6-46EF-B2AA-9A3AB76E0407}">
            <xm:f>$S$8='Assessment Details'!$Q$23</xm:f>
            <x14:dxf>
              <font>
                <color theme="0"/>
              </font>
              <fill>
                <patternFill>
                  <bgColor theme="0"/>
                </patternFill>
              </fill>
              <border>
                <vertical/>
                <horizontal/>
              </border>
            </x14:dxf>
          </x14:cfRule>
          <xm:sqref>N149:N151</xm:sqref>
        </x14:conditionalFormatting>
        <x14:conditionalFormatting xmlns:xm="http://schemas.microsoft.com/office/excel/2006/main">
          <x14:cfRule type="expression" priority="1649" id="{1502D2C8-A2B7-45DE-97E7-424E5399048E}">
            <xm:f>$S$8='Assessment Details'!$Q$23</xm:f>
            <x14:dxf>
              <border>
                <left style="thin">
                  <color theme="0"/>
                </left>
                <right style="thin">
                  <color theme="0"/>
                </right>
                <top style="thin">
                  <color theme="0"/>
                </top>
                <bottom style="thin">
                  <color theme="0"/>
                </bottom>
                <vertical/>
                <horizontal/>
              </border>
            </x14:dxf>
          </x14:cfRule>
          <xm:sqref>N149:N151</xm:sqref>
        </x14:conditionalFormatting>
        <x14:conditionalFormatting xmlns:xm="http://schemas.microsoft.com/office/excel/2006/main">
          <x14:cfRule type="expression" priority="1648" id="{39095236-53C3-4F3D-950B-C36B50CD6384}">
            <xm:f>$Z$8='Assessment Details'!$Q$23</xm:f>
            <x14:dxf>
              <font>
                <color theme="0"/>
              </font>
              <fill>
                <patternFill>
                  <bgColor theme="0"/>
                </patternFill>
              </fill>
            </x14:dxf>
          </x14:cfRule>
          <xm:sqref>X149:Y151</xm:sqref>
        </x14:conditionalFormatting>
        <x14:conditionalFormatting xmlns:xm="http://schemas.microsoft.com/office/excel/2006/main">
          <x14:cfRule type="expression" priority="1647" id="{8FF76635-9554-4CD4-B092-34C9BF80048C}">
            <xm:f>$Z$8='Assessment Details'!$Q$23</xm:f>
            <x14:dxf>
              <border>
                <left style="thin">
                  <color theme="0"/>
                </left>
                <right style="thin">
                  <color theme="0"/>
                </right>
                <top style="thin">
                  <color theme="0"/>
                </top>
                <bottom style="thin">
                  <color theme="0"/>
                </bottom>
                <vertical/>
                <horizontal/>
              </border>
            </x14:dxf>
          </x14:cfRule>
          <xm:sqref>X149:Y151</xm:sqref>
        </x14:conditionalFormatting>
        <x14:conditionalFormatting xmlns:xm="http://schemas.microsoft.com/office/excel/2006/main">
          <x14:cfRule type="expression" priority="1633" id="{D587C718-D0FA-4E96-9278-638905D4A4F8}">
            <xm:f>$Z$8='Assessment Details'!$Q$23</xm:f>
            <x14:dxf>
              <font>
                <color theme="0"/>
              </font>
              <fill>
                <patternFill>
                  <bgColor theme="0"/>
                </patternFill>
              </fill>
            </x14:dxf>
          </x14:cfRule>
          <xm:sqref>U149:U151</xm:sqref>
        </x14:conditionalFormatting>
        <x14:conditionalFormatting xmlns:xm="http://schemas.microsoft.com/office/excel/2006/main">
          <x14:cfRule type="expression" priority="1632" id="{4AD8FE10-2A04-439F-A3D7-D849B225CA6B}">
            <xm:f>$Z$8='Assessment Details'!$Q$23</xm:f>
            <x14:dxf>
              <border>
                <left style="thin">
                  <color theme="0"/>
                </left>
                <right style="thin">
                  <color theme="0"/>
                </right>
                <top style="thin">
                  <color theme="0"/>
                </top>
                <bottom style="thin">
                  <color theme="0"/>
                </bottom>
                <vertical/>
                <horizontal/>
              </border>
            </x14:dxf>
          </x14:cfRule>
          <xm:sqref>U149:U151</xm:sqref>
        </x14:conditionalFormatting>
        <x14:conditionalFormatting xmlns:xm="http://schemas.microsoft.com/office/excel/2006/main">
          <x14:cfRule type="expression" priority="1621" id="{8111D68C-ED4E-4E20-A6EF-766488248D03}">
            <xm:f>$S$8='Assessment Details'!$Q$23</xm:f>
            <x14:dxf>
              <font>
                <color theme="0"/>
              </font>
              <fill>
                <patternFill>
                  <bgColor theme="0"/>
                </patternFill>
              </fill>
              <border>
                <vertical/>
                <horizontal/>
              </border>
            </x14:dxf>
          </x14:cfRule>
          <xm:sqref>N154</xm:sqref>
        </x14:conditionalFormatting>
        <x14:conditionalFormatting xmlns:xm="http://schemas.microsoft.com/office/excel/2006/main">
          <x14:cfRule type="expression" priority="1620" id="{94DD3C6F-C113-46B5-9523-B3A9F444C760}">
            <xm:f>$S$8='Assessment Details'!$Q$23</xm:f>
            <x14:dxf>
              <border>
                <left style="thin">
                  <color theme="0"/>
                </left>
                <right style="thin">
                  <color theme="0"/>
                </right>
                <top style="thin">
                  <color theme="0"/>
                </top>
                <bottom style="thin">
                  <color theme="0"/>
                </bottom>
                <vertical/>
                <horizontal/>
              </border>
            </x14:dxf>
          </x14:cfRule>
          <xm:sqref>N154</xm:sqref>
        </x14:conditionalFormatting>
        <x14:conditionalFormatting xmlns:xm="http://schemas.microsoft.com/office/excel/2006/main">
          <x14:cfRule type="expression" priority="1619" id="{14EBF0E0-11D4-4858-AE0C-B018D8C3BE5D}">
            <xm:f>$Z$8='Assessment Details'!$Q$23</xm:f>
            <x14:dxf>
              <font>
                <color theme="0"/>
              </font>
              <fill>
                <patternFill>
                  <bgColor theme="0"/>
                </patternFill>
              </fill>
            </x14:dxf>
          </x14:cfRule>
          <xm:sqref>X154:Y154</xm:sqref>
        </x14:conditionalFormatting>
        <x14:conditionalFormatting xmlns:xm="http://schemas.microsoft.com/office/excel/2006/main">
          <x14:cfRule type="expression" priority="1618" id="{410E04A5-9E98-42E7-9FF9-FD96BDFC383F}">
            <xm:f>$Z$8='Assessment Details'!$Q$23</xm:f>
            <x14:dxf>
              <border>
                <left style="thin">
                  <color theme="0"/>
                </left>
                <right style="thin">
                  <color theme="0"/>
                </right>
                <top style="thin">
                  <color theme="0"/>
                </top>
                <bottom style="thin">
                  <color theme="0"/>
                </bottom>
                <vertical/>
                <horizontal/>
              </border>
            </x14:dxf>
          </x14:cfRule>
          <xm:sqref>X154:Y154</xm:sqref>
        </x14:conditionalFormatting>
        <x14:conditionalFormatting xmlns:xm="http://schemas.microsoft.com/office/excel/2006/main">
          <x14:cfRule type="expression" priority="1604" id="{EFD004EF-0AD9-4C0E-A482-FE351BFD77E4}">
            <xm:f>$Z$8='Assessment Details'!$Q$23</xm:f>
            <x14:dxf>
              <font>
                <color theme="0"/>
              </font>
              <fill>
                <patternFill>
                  <bgColor theme="0"/>
                </patternFill>
              </fill>
            </x14:dxf>
          </x14:cfRule>
          <xm:sqref>U154</xm:sqref>
        </x14:conditionalFormatting>
        <x14:conditionalFormatting xmlns:xm="http://schemas.microsoft.com/office/excel/2006/main">
          <x14:cfRule type="expression" priority="1603" id="{C9BE59CD-01E6-4E04-81D4-CC65C596A545}">
            <xm:f>$Z$8='Assessment Details'!$Q$23</xm:f>
            <x14:dxf>
              <border>
                <left style="thin">
                  <color theme="0"/>
                </left>
                <right style="thin">
                  <color theme="0"/>
                </right>
                <top style="thin">
                  <color theme="0"/>
                </top>
                <bottom style="thin">
                  <color theme="0"/>
                </bottom>
                <vertical/>
                <horizontal/>
              </border>
            </x14:dxf>
          </x14:cfRule>
          <xm:sqref>U154</xm:sqref>
        </x14:conditionalFormatting>
        <x14:conditionalFormatting xmlns:xm="http://schemas.microsoft.com/office/excel/2006/main">
          <x14:cfRule type="expression" priority="1592" id="{E93C857C-28FB-4390-B46A-FF8DF2C14CA9}">
            <xm:f>$S$8='Assessment Details'!$Q$23</xm:f>
            <x14:dxf>
              <font>
                <color theme="0"/>
              </font>
              <fill>
                <patternFill>
                  <bgColor theme="0"/>
                </patternFill>
              </fill>
              <border>
                <vertical/>
                <horizontal/>
              </border>
            </x14:dxf>
          </x14:cfRule>
          <xm:sqref>N156</xm:sqref>
        </x14:conditionalFormatting>
        <x14:conditionalFormatting xmlns:xm="http://schemas.microsoft.com/office/excel/2006/main">
          <x14:cfRule type="expression" priority="1591" id="{FB83C662-E61F-403A-B5C3-A775A006BD5A}">
            <xm:f>$S$8='Assessment Details'!$Q$23</xm:f>
            <x14:dxf>
              <border>
                <left style="thin">
                  <color theme="0"/>
                </left>
                <right style="thin">
                  <color theme="0"/>
                </right>
                <top style="thin">
                  <color theme="0"/>
                </top>
                <bottom style="thin">
                  <color theme="0"/>
                </bottom>
                <vertical/>
                <horizontal/>
              </border>
            </x14:dxf>
          </x14:cfRule>
          <xm:sqref>N156</xm:sqref>
        </x14:conditionalFormatting>
        <x14:conditionalFormatting xmlns:xm="http://schemas.microsoft.com/office/excel/2006/main">
          <x14:cfRule type="expression" priority="1590" id="{33A6284F-614F-4C7F-B72F-847D6D3039AD}">
            <xm:f>$Z$8='Assessment Details'!$Q$23</xm:f>
            <x14:dxf>
              <font>
                <color theme="0"/>
              </font>
              <fill>
                <patternFill>
                  <bgColor theme="0"/>
                </patternFill>
              </fill>
            </x14:dxf>
          </x14:cfRule>
          <xm:sqref>X156:Y156</xm:sqref>
        </x14:conditionalFormatting>
        <x14:conditionalFormatting xmlns:xm="http://schemas.microsoft.com/office/excel/2006/main">
          <x14:cfRule type="expression" priority="1589" id="{7029ABC3-A3B5-4C44-9CDE-266B9BDFB425}">
            <xm:f>$Z$8='Assessment Details'!$Q$23</xm:f>
            <x14:dxf>
              <border>
                <left style="thin">
                  <color theme="0"/>
                </left>
                <right style="thin">
                  <color theme="0"/>
                </right>
                <top style="thin">
                  <color theme="0"/>
                </top>
                <bottom style="thin">
                  <color theme="0"/>
                </bottom>
                <vertical/>
                <horizontal/>
              </border>
            </x14:dxf>
          </x14:cfRule>
          <xm:sqref>X156:Y156</xm:sqref>
        </x14:conditionalFormatting>
        <x14:conditionalFormatting xmlns:xm="http://schemas.microsoft.com/office/excel/2006/main">
          <x14:cfRule type="expression" priority="1575" id="{505F3318-0C46-4E24-842E-54A82A74FDB0}">
            <xm:f>$Z$8='Assessment Details'!$Q$23</xm:f>
            <x14:dxf>
              <font>
                <color theme="0"/>
              </font>
              <fill>
                <patternFill>
                  <bgColor theme="0"/>
                </patternFill>
              </fill>
            </x14:dxf>
          </x14:cfRule>
          <xm:sqref>U156</xm:sqref>
        </x14:conditionalFormatting>
        <x14:conditionalFormatting xmlns:xm="http://schemas.microsoft.com/office/excel/2006/main">
          <x14:cfRule type="expression" priority="1574" id="{A6A933DF-C393-4F14-9D8E-B37AEA7D3CB9}">
            <xm:f>$Z$8='Assessment Details'!$Q$23</xm:f>
            <x14:dxf>
              <border>
                <left style="thin">
                  <color theme="0"/>
                </left>
                <right style="thin">
                  <color theme="0"/>
                </right>
                <top style="thin">
                  <color theme="0"/>
                </top>
                <bottom style="thin">
                  <color theme="0"/>
                </bottom>
                <vertical/>
                <horizontal/>
              </border>
            </x14:dxf>
          </x14:cfRule>
          <xm:sqref>U156</xm:sqref>
        </x14:conditionalFormatting>
        <x14:conditionalFormatting xmlns:xm="http://schemas.microsoft.com/office/excel/2006/main">
          <x14:cfRule type="expression" priority="1563" id="{B5BAF25E-EFB2-4473-9E7D-9B148D482A30}">
            <xm:f>$S$8='Assessment Details'!$Q$23</xm:f>
            <x14:dxf>
              <font>
                <color theme="0"/>
              </font>
              <fill>
                <patternFill>
                  <bgColor theme="0"/>
                </patternFill>
              </fill>
              <border>
                <vertical/>
                <horizontal/>
              </border>
            </x14:dxf>
          </x14:cfRule>
          <xm:sqref>N158</xm:sqref>
        </x14:conditionalFormatting>
        <x14:conditionalFormatting xmlns:xm="http://schemas.microsoft.com/office/excel/2006/main">
          <x14:cfRule type="expression" priority="1562" id="{C3B1ECA9-75EA-4F8E-A27C-14108B7F0209}">
            <xm:f>$S$8='Assessment Details'!$Q$23</xm:f>
            <x14:dxf>
              <border>
                <left style="thin">
                  <color theme="0"/>
                </left>
                <right style="thin">
                  <color theme="0"/>
                </right>
                <top style="thin">
                  <color theme="0"/>
                </top>
                <bottom style="thin">
                  <color theme="0"/>
                </bottom>
                <vertical/>
                <horizontal/>
              </border>
            </x14:dxf>
          </x14:cfRule>
          <xm:sqref>N158</xm:sqref>
        </x14:conditionalFormatting>
        <x14:conditionalFormatting xmlns:xm="http://schemas.microsoft.com/office/excel/2006/main">
          <x14:cfRule type="expression" priority="1561" id="{FAD0F942-33DA-46B1-AC40-39F2D6CB26A2}">
            <xm:f>$Z$8='Assessment Details'!$Q$23</xm:f>
            <x14:dxf>
              <font>
                <color theme="0"/>
              </font>
              <fill>
                <patternFill>
                  <bgColor theme="0"/>
                </patternFill>
              </fill>
            </x14:dxf>
          </x14:cfRule>
          <xm:sqref>X158:Y158</xm:sqref>
        </x14:conditionalFormatting>
        <x14:conditionalFormatting xmlns:xm="http://schemas.microsoft.com/office/excel/2006/main">
          <x14:cfRule type="expression" priority="1560" id="{D95FB0B0-9E07-42C2-843E-F1D49A42E140}">
            <xm:f>$Z$8='Assessment Details'!$Q$23</xm:f>
            <x14:dxf>
              <border>
                <left style="thin">
                  <color theme="0"/>
                </left>
                <right style="thin">
                  <color theme="0"/>
                </right>
                <top style="thin">
                  <color theme="0"/>
                </top>
                <bottom style="thin">
                  <color theme="0"/>
                </bottom>
                <vertical/>
                <horizontal/>
              </border>
            </x14:dxf>
          </x14:cfRule>
          <xm:sqref>X158:Y158</xm:sqref>
        </x14:conditionalFormatting>
        <x14:conditionalFormatting xmlns:xm="http://schemas.microsoft.com/office/excel/2006/main">
          <x14:cfRule type="expression" priority="1546" id="{1706D565-566F-42D6-BAE3-C0C23E307B68}">
            <xm:f>$Z$8='Assessment Details'!$Q$23</xm:f>
            <x14:dxf>
              <font>
                <color theme="0"/>
              </font>
              <fill>
                <patternFill>
                  <bgColor theme="0"/>
                </patternFill>
              </fill>
            </x14:dxf>
          </x14:cfRule>
          <xm:sqref>U158</xm:sqref>
        </x14:conditionalFormatting>
        <x14:conditionalFormatting xmlns:xm="http://schemas.microsoft.com/office/excel/2006/main">
          <x14:cfRule type="expression" priority="1545" id="{21586835-502C-4CFF-AF49-D460AAC12459}">
            <xm:f>$Z$8='Assessment Details'!$Q$23</xm:f>
            <x14:dxf>
              <border>
                <left style="thin">
                  <color theme="0"/>
                </left>
                <right style="thin">
                  <color theme="0"/>
                </right>
                <top style="thin">
                  <color theme="0"/>
                </top>
                <bottom style="thin">
                  <color theme="0"/>
                </bottom>
                <vertical/>
                <horizontal/>
              </border>
            </x14:dxf>
          </x14:cfRule>
          <xm:sqref>U158</xm:sqref>
        </x14:conditionalFormatting>
        <x14:conditionalFormatting xmlns:xm="http://schemas.microsoft.com/office/excel/2006/main">
          <x14:cfRule type="expression" priority="1534" id="{FC4F7586-A157-4352-848C-21918EE781A5}">
            <xm:f>$S$8='Assessment Details'!$Q$23</xm:f>
            <x14:dxf>
              <font>
                <color theme="0"/>
              </font>
              <fill>
                <patternFill>
                  <bgColor theme="0"/>
                </patternFill>
              </fill>
              <border>
                <vertical/>
                <horizontal/>
              </border>
            </x14:dxf>
          </x14:cfRule>
          <xm:sqref>N163</xm:sqref>
        </x14:conditionalFormatting>
        <x14:conditionalFormatting xmlns:xm="http://schemas.microsoft.com/office/excel/2006/main">
          <x14:cfRule type="expression" priority="1533" id="{BE8FA228-D559-43BF-B3AC-678B93E9A11F}">
            <xm:f>$S$8='Assessment Details'!$Q$23</xm:f>
            <x14:dxf>
              <border>
                <left style="thin">
                  <color theme="0"/>
                </left>
                <right style="thin">
                  <color theme="0"/>
                </right>
                <top style="thin">
                  <color theme="0"/>
                </top>
                <bottom style="thin">
                  <color theme="0"/>
                </bottom>
                <vertical/>
                <horizontal/>
              </border>
            </x14:dxf>
          </x14:cfRule>
          <xm:sqref>N163</xm:sqref>
        </x14:conditionalFormatting>
        <x14:conditionalFormatting xmlns:xm="http://schemas.microsoft.com/office/excel/2006/main">
          <x14:cfRule type="expression" priority="1532" id="{EC14D7BD-E844-4979-B380-D8772CD6DCDB}">
            <xm:f>$Z$8='Assessment Details'!$Q$23</xm:f>
            <x14:dxf>
              <font>
                <color theme="0"/>
              </font>
              <fill>
                <patternFill>
                  <bgColor theme="0"/>
                </patternFill>
              </fill>
            </x14:dxf>
          </x14:cfRule>
          <xm:sqref>X163:Y163</xm:sqref>
        </x14:conditionalFormatting>
        <x14:conditionalFormatting xmlns:xm="http://schemas.microsoft.com/office/excel/2006/main">
          <x14:cfRule type="expression" priority="1531" id="{0235C1C1-06F0-430A-88CE-9E126B07233B}">
            <xm:f>$Z$8='Assessment Details'!$Q$23</xm:f>
            <x14:dxf>
              <border>
                <left style="thin">
                  <color theme="0"/>
                </left>
                <right style="thin">
                  <color theme="0"/>
                </right>
                <top style="thin">
                  <color theme="0"/>
                </top>
                <bottom style="thin">
                  <color theme="0"/>
                </bottom>
                <vertical/>
                <horizontal/>
              </border>
            </x14:dxf>
          </x14:cfRule>
          <xm:sqref>X163:Y163</xm:sqref>
        </x14:conditionalFormatting>
        <x14:conditionalFormatting xmlns:xm="http://schemas.microsoft.com/office/excel/2006/main">
          <x14:cfRule type="expression" priority="1517" id="{69741BF6-D994-441F-9F31-4EBB94ECF11F}">
            <xm:f>$Z$8='Assessment Details'!$Q$23</xm:f>
            <x14:dxf>
              <font>
                <color theme="0"/>
              </font>
              <fill>
                <patternFill>
                  <bgColor theme="0"/>
                </patternFill>
              </fill>
            </x14:dxf>
          </x14:cfRule>
          <xm:sqref>U163</xm:sqref>
        </x14:conditionalFormatting>
        <x14:conditionalFormatting xmlns:xm="http://schemas.microsoft.com/office/excel/2006/main">
          <x14:cfRule type="expression" priority="1516" id="{02E4BBE7-B240-4F9F-BBBB-942D574B4AA0}">
            <xm:f>$Z$8='Assessment Details'!$Q$23</xm:f>
            <x14:dxf>
              <border>
                <left style="thin">
                  <color theme="0"/>
                </left>
                <right style="thin">
                  <color theme="0"/>
                </right>
                <top style="thin">
                  <color theme="0"/>
                </top>
                <bottom style="thin">
                  <color theme="0"/>
                </bottom>
                <vertical/>
                <horizontal/>
              </border>
            </x14:dxf>
          </x14:cfRule>
          <xm:sqref>U163</xm:sqref>
        </x14:conditionalFormatting>
        <x14:conditionalFormatting xmlns:xm="http://schemas.microsoft.com/office/excel/2006/main">
          <x14:cfRule type="expression" priority="1505" id="{EDF6CD3E-34CB-41A5-AB94-6E33CD81E4C7}">
            <xm:f>$S$8='Assessment Details'!$Q$23</xm:f>
            <x14:dxf>
              <font>
                <color theme="0"/>
              </font>
              <fill>
                <patternFill>
                  <bgColor theme="0"/>
                </patternFill>
              </fill>
              <border>
                <vertical/>
                <horizontal/>
              </border>
            </x14:dxf>
          </x14:cfRule>
          <xm:sqref>N167:N168</xm:sqref>
        </x14:conditionalFormatting>
        <x14:conditionalFormatting xmlns:xm="http://schemas.microsoft.com/office/excel/2006/main">
          <x14:cfRule type="expression" priority="1504" id="{4165ED7D-D562-4D22-A6D6-5BBBB0C0E736}">
            <xm:f>$S$8='Assessment Details'!$Q$23</xm:f>
            <x14:dxf>
              <border>
                <left style="thin">
                  <color theme="0"/>
                </left>
                <right style="thin">
                  <color theme="0"/>
                </right>
                <top style="thin">
                  <color theme="0"/>
                </top>
                <bottom style="thin">
                  <color theme="0"/>
                </bottom>
                <vertical/>
                <horizontal/>
              </border>
            </x14:dxf>
          </x14:cfRule>
          <xm:sqref>N167:N168</xm:sqref>
        </x14:conditionalFormatting>
        <x14:conditionalFormatting xmlns:xm="http://schemas.microsoft.com/office/excel/2006/main">
          <x14:cfRule type="expression" priority="1503" id="{F83DBC8E-67E7-43CC-80AB-0026E89AC9CE}">
            <xm:f>$Z$8='Assessment Details'!$Q$23</xm:f>
            <x14:dxf>
              <font>
                <color theme="0"/>
              </font>
              <fill>
                <patternFill>
                  <bgColor theme="0"/>
                </patternFill>
              </fill>
            </x14:dxf>
          </x14:cfRule>
          <xm:sqref>X166:Y168</xm:sqref>
        </x14:conditionalFormatting>
        <x14:conditionalFormatting xmlns:xm="http://schemas.microsoft.com/office/excel/2006/main">
          <x14:cfRule type="expression" priority="1502" id="{C8492064-65F4-49FD-9B25-FC1139F0E4C2}">
            <xm:f>$Z$8='Assessment Details'!$Q$23</xm:f>
            <x14:dxf>
              <border>
                <left style="thin">
                  <color theme="0"/>
                </left>
                <right style="thin">
                  <color theme="0"/>
                </right>
                <top style="thin">
                  <color theme="0"/>
                </top>
                <bottom style="thin">
                  <color theme="0"/>
                </bottom>
                <vertical/>
                <horizontal/>
              </border>
            </x14:dxf>
          </x14:cfRule>
          <xm:sqref>X166:Y168</xm:sqref>
        </x14:conditionalFormatting>
        <x14:conditionalFormatting xmlns:xm="http://schemas.microsoft.com/office/excel/2006/main">
          <x14:cfRule type="expression" priority="1488" id="{025FCD9C-6EC2-4741-BAEA-95D9F8820B1F}">
            <xm:f>$Z$8='Assessment Details'!$Q$23</xm:f>
            <x14:dxf>
              <font>
                <color theme="0"/>
              </font>
              <fill>
                <patternFill>
                  <bgColor theme="0"/>
                </patternFill>
              </fill>
            </x14:dxf>
          </x14:cfRule>
          <xm:sqref>U167:U168</xm:sqref>
        </x14:conditionalFormatting>
        <x14:conditionalFormatting xmlns:xm="http://schemas.microsoft.com/office/excel/2006/main">
          <x14:cfRule type="expression" priority="1487" id="{02EDE805-E77B-4339-9098-9C92ADDA184E}">
            <xm:f>$Z$8='Assessment Details'!$Q$23</xm:f>
            <x14:dxf>
              <border>
                <left style="thin">
                  <color theme="0"/>
                </left>
                <right style="thin">
                  <color theme="0"/>
                </right>
                <top style="thin">
                  <color theme="0"/>
                </top>
                <bottom style="thin">
                  <color theme="0"/>
                </bottom>
                <vertical/>
                <horizontal/>
              </border>
            </x14:dxf>
          </x14:cfRule>
          <xm:sqref>U167:U168</xm:sqref>
        </x14:conditionalFormatting>
        <x14:conditionalFormatting xmlns:xm="http://schemas.microsoft.com/office/excel/2006/main">
          <x14:cfRule type="expression" priority="1476" id="{3D1E988D-03DD-499C-BF68-CF1240BEC228}">
            <xm:f>$S$8='Assessment Details'!$Q$23</xm:f>
            <x14:dxf>
              <font>
                <color theme="0"/>
              </font>
              <fill>
                <patternFill>
                  <bgColor theme="0"/>
                </patternFill>
              </fill>
              <border>
                <vertical/>
                <horizontal/>
              </border>
            </x14:dxf>
          </x14:cfRule>
          <xm:sqref>N170:N171</xm:sqref>
        </x14:conditionalFormatting>
        <x14:conditionalFormatting xmlns:xm="http://schemas.microsoft.com/office/excel/2006/main">
          <x14:cfRule type="expression" priority="1475" id="{FEA7069D-5280-4A3C-A382-371BE113ED55}">
            <xm:f>$S$8='Assessment Details'!$Q$23</xm:f>
            <x14:dxf>
              <border>
                <left style="thin">
                  <color theme="0"/>
                </left>
                <right style="thin">
                  <color theme="0"/>
                </right>
                <top style="thin">
                  <color theme="0"/>
                </top>
                <bottom style="thin">
                  <color theme="0"/>
                </bottom>
                <vertical/>
                <horizontal/>
              </border>
            </x14:dxf>
          </x14:cfRule>
          <xm:sqref>N170:N171</xm:sqref>
        </x14:conditionalFormatting>
        <x14:conditionalFormatting xmlns:xm="http://schemas.microsoft.com/office/excel/2006/main">
          <x14:cfRule type="expression" priority="1459" id="{84F84A84-D28C-4541-BF15-E652C7765B65}">
            <xm:f>$Z$8='Assessment Details'!$Q$23</xm:f>
            <x14:dxf>
              <font>
                <color theme="0"/>
              </font>
              <fill>
                <patternFill>
                  <bgColor theme="0"/>
                </patternFill>
              </fill>
            </x14:dxf>
          </x14:cfRule>
          <xm:sqref>U170:U171</xm:sqref>
        </x14:conditionalFormatting>
        <x14:conditionalFormatting xmlns:xm="http://schemas.microsoft.com/office/excel/2006/main">
          <x14:cfRule type="expression" priority="1458" id="{7B46AC8A-3833-42E8-83A3-338992A82C94}">
            <xm:f>$Z$8='Assessment Details'!$Q$23</xm:f>
            <x14:dxf>
              <border>
                <left style="thin">
                  <color theme="0"/>
                </left>
                <right style="thin">
                  <color theme="0"/>
                </right>
                <top style="thin">
                  <color theme="0"/>
                </top>
                <bottom style="thin">
                  <color theme="0"/>
                </bottom>
                <vertical/>
                <horizontal/>
              </border>
            </x14:dxf>
          </x14:cfRule>
          <xm:sqref>U170:U171</xm:sqref>
        </x14:conditionalFormatting>
        <x14:conditionalFormatting xmlns:xm="http://schemas.microsoft.com/office/excel/2006/main">
          <x14:cfRule type="expression" priority="1447" id="{BCBDE68D-5C79-4E40-A8E9-299017800141}">
            <xm:f>$S$8='Assessment Details'!$Q$23</xm:f>
            <x14:dxf>
              <font>
                <color theme="0"/>
              </font>
              <fill>
                <patternFill>
                  <bgColor theme="0"/>
                </patternFill>
              </fill>
              <border>
                <vertical/>
                <horizontal/>
              </border>
            </x14:dxf>
          </x14:cfRule>
          <xm:sqref>N174:N175</xm:sqref>
        </x14:conditionalFormatting>
        <x14:conditionalFormatting xmlns:xm="http://schemas.microsoft.com/office/excel/2006/main">
          <x14:cfRule type="expression" priority="1446" id="{F639A87B-C88A-4C53-9078-FA0725954127}">
            <xm:f>$S$8='Assessment Details'!$Q$23</xm:f>
            <x14:dxf>
              <border>
                <left style="thin">
                  <color theme="0"/>
                </left>
                <right style="thin">
                  <color theme="0"/>
                </right>
                <top style="thin">
                  <color theme="0"/>
                </top>
                <bottom style="thin">
                  <color theme="0"/>
                </bottom>
                <vertical/>
                <horizontal/>
              </border>
            </x14:dxf>
          </x14:cfRule>
          <xm:sqref>N174:N175</xm:sqref>
        </x14:conditionalFormatting>
        <x14:conditionalFormatting xmlns:xm="http://schemas.microsoft.com/office/excel/2006/main">
          <x14:cfRule type="expression" priority="1445" id="{A521E0BB-96A0-44B1-9940-4AFB6590279F}">
            <xm:f>$Z$8='Assessment Details'!$Q$23</xm:f>
            <x14:dxf>
              <font>
                <color theme="0"/>
              </font>
              <fill>
                <patternFill>
                  <bgColor theme="0"/>
                </patternFill>
              </fill>
            </x14:dxf>
          </x14:cfRule>
          <xm:sqref>X173:Y175</xm:sqref>
        </x14:conditionalFormatting>
        <x14:conditionalFormatting xmlns:xm="http://schemas.microsoft.com/office/excel/2006/main">
          <x14:cfRule type="expression" priority="1444" id="{B4363687-7932-4F7E-886B-EF390D51CCD1}">
            <xm:f>$Z$8='Assessment Details'!$Q$23</xm:f>
            <x14:dxf>
              <border>
                <left style="thin">
                  <color theme="0"/>
                </left>
                <right style="thin">
                  <color theme="0"/>
                </right>
                <top style="thin">
                  <color theme="0"/>
                </top>
                <bottom style="thin">
                  <color theme="0"/>
                </bottom>
                <vertical/>
                <horizontal/>
              </border>
            </x14:dxf>
          </x14:cfRule>
          <xm:sqref>X173:Y175</xm:sqref>
        </x14:conditionalFormatting>
        <x14:conditionalFormatting xmlns:xm="http://schemas.microsoft.com/office/excel/2006/main">
          <x14:cfRule type="expression" priority="1430" id="{8A2EF026-7281-4B89-ACE1-B4C4019A2A77}">
            <xm:f>$Z$8='Assessment Details'!$Q$23</xm:f>
            <x14:dxf>
              <font>
                <color theme="0"/>
              </font>
              <fill>
                <patternFill>
                  <bgColor theme="0"/>
                </patternFill>
              </fill>
            </x14:dxf>
          </x14:cfRule>
          <xm:sqref>U174:U175</xm:sqref>
        </x14:conditionalFormatting>
        <x14:conditionalFormatting xmlns:xm="http://schemas.microsoft.com/office/excel/2006/main">
          <x14:cfRule type="expression" priority="1429" id="{A8B954CC-158D-484A-816B-BD9CF8639B81}">
            <xm:f>$Z$8='Assessment Details'!$Q$23</xm:f>
            <x14:dxf>
              <border>
                <left style="thin">
                  <color theme="0"/>
                </left>
                <right style="thin">
                  <color theme="0"/>
                </right>
                <top style="thin">
                  <color theme="0"/>
                </top>
                <bottom style="thin">
                  <color theme="0"/>
                </bottom>
                <vertical/>
                <horizontal/>
              </border>
            </x14:dxf>
          </x14:cfRule>
          <xm:sqref>U174:U175</xm:sqref>
        </x14:conditionalFormatting>
        <x14:conditionalFormatting xmlns:xm="http://schemas.microsoft.com/office/excel/2006/main">
          <x14:cfRule type="expression" priority="1418" id="{0841C3A7-48E6-4EF1-8BD3-2A7D424CCA2D}">
            <xm:f>$S$8='Assessment Details'!$Q$23</xm:f>
            <x14:dxf>
              <font>
                <color theme="0"/>
              </font>
              <fill>
                <patternFill>
                  <bgColor theme="0"/>
                </patternFill>
              </fill>
              <border>
                <vertical/>
                <horizontal/>
              </border>
            </x14:dxf>
          </x14:cfRule>
          <xm:sqref>N178:N179</xm:sqref>
        </x14:conditionalFormatting>
        <x14:conditionalFormatting xmlns:xm="http://schemas.microsoft.com/office/excel/2006/main">
          <x14:cfRule type="expression" priority="1417" id="{47373EDA-C443-45B9-8151-C85D11428738}">
            <xm:f>$S$8='Assessment Details'!$Q$23</xm:f>
            <x14:dxf>
              <border>
                <left style="thin">
                  <color theme="0"/>
                </left>
                <right style="thin">
                  <color theme="0"/>
                </right>
                <top style="thin">
                  <color theme="0"/>
                </top>
                <bottom style="thin">
                  <color theme="0"/>
                </bottom>
                <vertical/>
                <horizontal/>
              </border>
            </x14:dxf>
          </x14:cfRule>
          <xm:sqref>N178:N179</xm:sqref>
        </x14:conditionalFormatting>
        <x14:conditionalFormatting xmlns:xm="http://schemas.microsoft.com/office/excel/2006/main">
          <x14:cfRule type="expression" priority="1416" id="{89B486E7-ED01-4277-90ED-A95F4EC43ABD}">
            <xm:f>$Z$8='Assessment Details'!$Q$23</xm:f>
            <x14:dxf>
              <font>
                <color theme="0"/>
              </font>
              <fill>
                <patternFill>
                  <bgColor theme="0"/>
                </patternFill>
              </fill>
            </x14:dxf>
          </x14:cfRule>
          <xm:sqref>X177:Y179</xm:sqref>
        </x14:conditionalFormatting>
        <x14:conditionalFormatting xmlns:xm="http://schemas.microsoft.com/office/excel/2006/main">
          <x14:cfRule type="expression" priority="1415" id="{36E04BD1-C39C-4724-8F27-3B7345215037}">
            <xm:f>$Z$8='Assessment Details'!$Q$23</xm:f>
            <x14:dxf>
              <border>
                <left style="thin">
                  <color theme="0"/>
                </left>
                <right style="thin">
                  <color theme="0"/>
                </right>
                <top style="thin">
                  <color theme="0"/>
                </top>
                <bottom style="thin">
                  <color theme="0"/>
                </bottom>
                <vertical/>
                <horizontal/>
              </border>
            </x14:dxf>
          </x14:cfRule>
          <xm:sqref>X177:Y179</xm:sqref>
        </x14:conditionalFormatting>
        <x14:conditionalFormatting xmlns:xm="http://schemas.microsoft.com/office/excel/2006/main">
          <x14:cfRule type="expression" priority="1401" id="{F70FDA20-731E-4AF8-AFE8-7C3957D6DB58}">
            <xm:f>$Z$8='Assessment Details'!$Q$23</xm:f>
            <x14:dxf>
              <font>
                <color theme="0"/>
              </font>
              <fill>
                <patternFill>
                  <bgColor theme="0"/>
                </patternFill>
              </fill>
            </x14:dxf>
          </x14:cfRule>
          <xm:sqref>U178:U179</xm:sqref>
        </x14:conditionalFormatting>
        <x14:conditionalFormatting xmlns:xm="http://schemas.microsoft.com/office/excel/2006/main">
          <x14:cfRule type="expression" priority="1400" id="{90EF81F3-F7FF-48CC-BDA8-A145075B8D70}">
            <xm:f>$Z$8='Assessment Details'!$Q$23</xm:f>
            <x14:dxf>
              <border>
                <left style="thin">
                  <color theme="0"/>
                </left>
                <right style="thin">
                  <color theme="0"/>
                </right>
                <top style="thin">
                  <color theme="0"/>
                </top>
                <bottom style="thin">
                  <color theme="0"/>
                </bottom>
                <vertical/>
                <horizontal/>
              </border>
            </x14:dxf>
          </x14:cfRule>
          <xm:sqref>U178:U179</xm:sqref>
        </x14:conditionalFormatting>
        <x14:conditionalFormatting xmlns:xm="http://schemas.microsoft.com/office/excel/2006/main">
          <x14:cfRule type="expression" priority="1389" id="{E871B02C-4848-4F5F-92CF-340A21D6C286}">
            <xm:f>$S$8='Assessment Details'!$Q$23</xm:f>
            <x14:dxf>
              <font>
                <color theme="0"/>
              </font>
              <fill>
                <patternFill>
                  <bgColor theme="0"/>
                </patternFill>
              </fill>
              <border>
                <vertical/>
                <horizontal/>
              </border>
            </x14:dxf>
          </x14:cfRule>
          <xm:sqref>N181</xm:sqref>
        </x14:conditionalFormatting>
        <x14:conditionalFormatting xmlns:xm="http://schemas.microsoft.com/office/excel/2006/main">
          <x14:cfRule type="expression" priority="1388" id="{5B227801-2A9F-4CD2-92E4-A213D0C938B8}">
            <xm:f>$S$8='Assessment Details'!$Q$23</xm:f>
            <x14:dxf>
              <border>
                <left style="thin">
                  <color theme="0"/>
                </left>
                <right style="thin">
                  <color theme="0"/>
                </right>
                <top style="thin">
                  <color theme="0"/>
                </top>
                <bottom style="thin">
                  <color theme="0"/>
                </bottom>
                <vertical/>
                <horizontal/>
              </border>
            </x14:dxf>
          </x14:cfRule>
          <xm:sqref>N181</xm:sqref>
        </x14:conditionalFormatting>
        <x14:conditionalFormatting xmlns:xm="http://schemas.microsoft.com/office/excel/2006/main">
          <x14:cfRule type="expression" priority="1387" id="{E25EE285-D422-4F6A-B1DC-FD770294A9B3}">
            <xm:f>$Z$8='Assessment Details'!$Q$23</xm:f>
            <x14:dxf>
              <font>
                <color theme="0"/>
              </font>
              <fill>
                <patternFill>
                  <bgColor theme="0"/>
                </patternFill>
              </fill>
            </x14:dxf>
          </x14:cfRule>
          <xm:sqref>X181:Y181</xm:sqref>
        </x14:conditionalFormatting>
        <x14:conditionalFormatting xmlns:xm="http://schemas.microsoft.com/office/excel/2006/main">
          <x14:cfRule type="expression" priority="1386" id="{F016B8F4-5F99-46F2-82A2-602D0188A024}">
            <xm:f>$Z$8='Assessment Details'!$Q$23</xm:f>
            <x14:dxf>
              <border>
                <left style="thin">
                  <color theme="0"/>
                </left>
                <right style="thin">
                  <color theme="0"/>
                </right>
                <top style="thin">
                  <color theme="0"/>
                </top>
                <bottom style="thin">
                  <color theme="0"/>
                </bottom>
                <vertical/>
                <horizontal/>
              </border>
            </x14:dxf>
          </x14:cfRule>
          <xm:sqref>X181:Y181</xm:sqref>
        </x14:conditionalFormatting>
        <x14:conditionalFormatting xmlns:xm="http://schemas.microsoft.com/office/excel/2006/main">
          <x14:cfRule type="expression" priority="1372" id="{EC96F803-68EB-422C-85D3-F19E95C35C07}">
            <xm:f>$Z$8='Assessment Details'!$Q$23</xm:f>
            <x14:dxf>
              <font>
                <color theme="0"/>
              </font>
              <fill>
                <patternFill>
                  <bgColor theme="0"/>
                </patternFill>
              </fill>
            </x14:dxf>
          </x14:cfRule>
          <xm:sqref>U181</xm:sqref>
        </x14:conditionalFormatting>
        <x14:conditionalFormatting xmlns:xm="http://schemas.microsoft.com/office/excel/2006/main">
          <x14:cfRule type="expression" priority="1371" id="{5CFF3259-D6B5-403F-B1C7-61A200BA1D99}">
            <xm:f>$Z$8='Assessment Details'!$Q$23</xm:f>
            <x14:dxf>
              <border>
                <left style="thin">
                  <color theme="0"/>
                </left>
                <right style="thin">
                  <color theme="0"/>
                </right>
                <top style="thin">
                  <color theme="0"/>
                </top>
                <bottom style="thin">
                  <color theme="0"/>
                </bottom>
                <vertical/>
                <horizontal/>
              </border>
            </x14:dxf>
          </x14:cfRule>
          <xm:sqref>U181</xm:sqref>
        </x14:conditionalFormatting>
        <x14:conditionalFormatting xmlns:xm="http://schemas.microsoft.com/office/excel/2006/main">
          <x14:cfRule type="expression" priority="1360" id="{ADD3DFAA-D862-422F-9749-96EA4A90B76A}">
            <xm:f>$S$8='Assessment Details'!$Q$23</xm:f>
            <x14:dxf>
              <font>
                <color theme="0"/>
              </font>
              <fill>
                <patternFill>
                  <bgColor theme="0"/>
                </patternFill>
              </fill>
              <border>
                <vertical/>
                <horizontal/>
              </border>
            </x14:dxf>
          </x14:cfRule>
          <xm:sqref>N184</xm:sqref>
        </x14:conditionalFormatting>
        <x14:conditionalFormatting xmlns:xm="http://schemas.microsoft.com/office/excel/2006/main">
          <x14:cfRule type="expression" priority="1359" id="{B6AEE161-B105-452E-96A6-8641765D499B}">
            <xm:f>$S$8='Assessment Details'!$Q$23</xm:f>
            <x14:dxf>
              <border>
                <left style="thin">
                  <color theme="0"/>
                </left>
                <right style="thin">
                  <color theme="0"/>
                </right>
                <top style="thin">
                  <color theme="0"/>
                </top>
                <bottom style="thin">
                  <color theme="0"/>
                </bottom>
                <vertical/>
                <horizontal/>
              </border>
            </x14:dxf>
          </x14:cfRule>
          <xm:sqref>N184</xm:sqref>
        </x14:conditionalFormatting>
        <x14:conditionalFormatting xmlns:xm="http://schemas.microsoft.com/office/excel/2006/main">
          <x14:cfRule type="expression" priority="1358" id="{9AF9090A-A1EA-44E8-819A-714C5BE9399D}">
            <xm:f>$Z$8='Assessment Details'!$Q$23</xm:f>
            <x14:dxf>
              <font>
                <color theme="0"/>
              </font>
              <fill>
                <patternFill>
                  <bgColor theme="0"/>
                </patternFill>
              </fill>
            </x14:dxf>
          </x14:cfRule>
          <xm:sqref>X183:Y184</xm:sqref>
        </x14:conditionalFormatting>
        <x14:conditionalFormatting xmlns:xm="http://schemas.microsoft.com/office/excel/2006/main">
          <x14:cfRule type="expression" priority="1357" id="{4B4AE711-7F1F-459C-9292-6A6A78C33432}">
            <xm:f>$Z$8='Assessment Details'!$Q$23</xm:f>
            <x14:dxf>
              <border>
                <left style="thin">
                  <color theme="0"/>
                </left>
                <right style="thin">
                  <color theme="0"/>
                </right>
                <top style="thin">
                  <color theme="0"/>
                </top>
                <bottom style="thin">
                  <color theme="0"/>
                </bottom>
                <vertical/>
                <horizontal/>
              </border>
            </x14:dxf>
          </x14:cfRule>
          <xm:sqref>X183:Y184</xm:sqref>
        </x14:conditionalFormatting>
        <x14:conditionalFormatting xmlns:xm="http://schemas.microsoft.com/office/excel/2006/main">
          <x14:cfRule type="expression" priority="1343" id="{70F5CD5D-7755-4A45-89FE-FC8A883E6DC2}">
            <xm:f>$Z$8='Assessment Details'!$Q$23</xm:f>
            <x14:dxf>
              <font>
                <color theme="0"/>
              </font>
              <fill>
                <patternFill>
                  <bgColor theme="0"/>
                </patternFill>
              </fill>
            </x14:dxf>
          </x14:cfRule>
          <xm:sqref>U184</xm:sqref>
        </x14:conditionalFormatting>
        <x14:conditionalFormatting xmlns:xm="http://schemas.microsoft.com/office/excel/2006/main">
          <x14:cfRule type="expression" priority="1342" id="{51F44447-A560-4C68-AFA9-48659A9FC49A}">
            <xm:f>$Z$8='Assessment Details'!$Q$23</xm:f>
            <x14:dxf>
              <border>
                <left style="thin">
                  <color theme="0"/>
                </left>
                <right style="thin">
                  <color theme="0"/>
                </right>
                <top style="thin">
                  <color theme="0"/>
                </top>
                <bottom style="thin">
                  <color theme="0"/>
                </bottom>
                <vertical/>
                <horizontal/>
              </border>
            </x14:dxf>
          </x14:cfRule>
          <xm:sqref>U184</xm:sqref>
        </x14:conditionalFormatting>
        <x14:conditionalFormatting xmlns:xm="http://schemas.microsoft.com/office/excel/2006/main">
          <x14:cfRule type="expression" priority="1331" id="{3AFD6779-953D-424A-9968-4E7E05952675}">
            <xm:f>$S$8='Assessment Details'!$Q$23</xm:f>
            <x14:dxf>
              <font>
                <color theme="0"/>
              </font>
              <fill>
                <patternFill>
                  <bgColor theme="0"/>
                </patternFill>
              </fill>
              <border>
                <vertical/>
                <horizontal/>
              </border>
            </x14:dxf>
          </x14:cfRule>
          <xm:sqref>N187:N189</xm:sqref>
        </x14:conditionalFormatting>
        <x14:conditionalFormatting xmlns:xm="http://schemas.microsoft.com/office/excel/2006/main">
          <x14:cfRule type="expression" priority="1330" id="{0FB74762-1D3E-4B2F-BA18-E2EDB089150D}">
            <xm:f>$S$8='Assessment Details'!$Q$23</xm:f>
            <x14:dxf>
              <border>
                <left style="thin">
                  <color theme="0"/>
                </left>
                <right style="thin">
                  <color theme="0"/>
                </right>
                <top style="thin">
                  <color theme="0"/>
                </top>
                <bottom style="thin">
                  <color theme="0"/>
                </bottom>
                <vertical/>
                <horizontal/>
              </border>
            </x14:dxf>
          </x14:cfRule>
          <xm:sqref>N187:N189</xm:sqref>
        </x14:conditionalFormatting>
        <x14:conditionalFormatting xmlns:xm="http://schemas.microsoft.com/office/excel/2006/main">
          <x14:cfRule type="expression" priority="1329" id="{12FE712B-FA74-4B7D-9AE3-59C41D8B7D36}">
            <xm:f>$Z$8='Assessment Details'!$Q$23</xm:f>
            <x14:dxf>
              <font>
                <color theme="0"/>
              </font>
              <fill>
                <patternFill>
                  <bgColor theme="0"/>
                </patternFill>
              </fill>
            </x14:dxf>
          </x14:cfRule>
          <xm:sqref>X186:Y189</xm:sqref>
        </x14:conditionalFormatting>
        <x14:conditionalFormatting xmlns:xm="http://schemas.microsoft.com/office/excel/2006/main">
          <x14:cfRule type="expression" priority="1328" id="{E8B9DDCA-44DF-4858-BD32-C2B56BD428AC}">
            <xm:f>$Z$8='Assessment Details'!$Q$23</xm:f>
            <x14:dxf>
              <border>
                <left style="thin">
                  <color theme="0"/>
                </left>
                <right style="thin">
                  <color theme="0"/>
                </right>
                <top style="thin">
                  <color theme="0"/>
                </top>
                <bottom style="thin">
                  <color theme="0"/>
                </bottom>
                <vertical/>
                <horizontal/>
              </border>
            </x14:dxf>
          </x14:cfRule>
          <xm:sqref>X186:Y189</xm:sqref>
        </x14:conditionalFormatting>
        <x14:conditionalFormatting xmlns:xm="http://schemas.microsoft.com/office/excel/2006/main">
          <x14:cfRule type="expression" priority="1314" id="{9252695C-FA9D-4E90-99FE-9DC43D65F3D3}">
            <xm:f>$Z$8='Assessment Details'!$Q$23</xm:f>
            <x14:dxf>
              <font>
                <color theme="0"/>
              </font>
              <fill>
                <patternFill>
                  <bgColor theme="0"/>
                </patternFill>
              </fill>
            </x14:dxf>
          </x14:cfRule>
          <xm:sqref>U187:U189</xm:sqref>
        </x14:conditionalFormatting>
        <x14:conditionalFormatting xmlns:xm="http://schemas.microsoft.com/office/excel/2006/main">
          <x14:cfRule type="expression" priority="1313" id="{9CAC2D9D-4057-4AD9-A2F4-198BB19A971B}">
            <xm:f>$Z$8='Assessment Details'!$Q$23</xm:f>
            <x14:dxf>
              <border>
                <left style="thin">
                  <color theme="0"/>
                </left>
                <right style="thin">
                  <color theme="0"/>
                </right>
                <top style="thin">
                  <color theme="0"/>
                </top>
                <bottom style="thin">
                  <color theme="0"/>
                </bottom>
                <vertical/>
                <horizontal/>
              </border>
            </x14:dxf>
          </x14:cfRule>
          <xm:sqref>U187:U189</xm:sqref>
        </x14:conditionalFormatting>
        <x14:conditionalFormatting xmlns:xm="http://schemas.microsoft.com/office/excel/2006/main">
          <x14:cfRule type="expression" priority="1302" id="{B208A544-0E3C-4663-BA8B-0FD277FB4633}">
            <xm:f>$S$8='Assessment Details'!$Q$23</xm:f>
            <x14:dxf>
              <font>
                <color theme="0"/>
              </font>
              <fill>
                <patternFill>
                  <bgColor theme="0"/>
                </patternFill>
              </fill>
              <border>
                <vertical/>
                <horizontal/>
              </border>
            </x14:dxf>
          </x14:cfRule>
          <xm:sqref>N194</xm:sqref>
        </x14:conditionalFormatting>
        <x14:conditionalFormatting xmlns:xm="http://schemas.microsoft.com/office/excel/2006/main">
          <x14:cfRule type="expression" priority="1301" id="{54770062-B715-4AE7-AD74-84D67EC38AF3}">
            <xm:f>$S$8='Assessment Details'!$Q$23</xm:f>
            <x14:dxf>
              <border>
                <left style="thin">
                  <color theme="0"/>
                </left>
                <right style="thin">
                  <color theme="0"/>
                </right>
                <top style="thin">
                  <color theme="0"/>
                </top>
                <bottom style="thin">
                  <color theme="0"/>
                </bottom>
                <vertical/>
                <horizontal/>
              </border>
            </x14:dxf>
          </x14:cfRule>
          <xm:sqref>N194</xm:sqref>
        </x14:conditionalFormatting>
        <x14:conditionalFormatting xmlns:xm="http://schemas.microsoft.com/office/excel/2006/main">
          <x14:cfRule type="expression" priority="1300" id="{0ECEAA33-0EF7-4CA2-98BD-FC7068A6CCC7}">
            <xm:f>$Z$8='Assessment Details'!$Q$23</xm:f>
            <x14:dxf>
              <font>
                <color theme="0"/>
              </font>
              <fill>
                <patternFill>
                  <bgColor theme="0"/>
                </patternFill>
              </fill>
            </x14:dxf>
          </x14:cfRule>
          <xm:sqref>X194:Y194</xm:sqref>
        </x14:conditionalFormatting>
        <x14:conditionalFormatting xmlns:xm="http://schemas.microsoft.com/office/excel/2006/main">
          <x14:cfRule type="expression" priority="1299" id="{6348EF24-9E8A-43B3-83B4-BF7DAEF8577C}">
            <xm:f>$Z$8='Assessment Details'!$Q$23</xm:f>
            <x14:dxf>
              <border>
                <left style="thin">
                  <color theme="0"/>
                </left>
                <right style="thin">
                  <color theme="0"/>
                </right>
                <top style="thin">
                  <color theme="0"/>
                </top>
                <bottom style="thin">
                  <color theme="0"/>
                </bottom>
                <vertical/>
                <horizontal/>
              </border>
            </x14:dxf>
          </x14:cfRule>
          <xm:sqref>X194:Y194</xm:sqref>
        </x14:conditionalFormatting>
        <x14:conditionalFormatting xmlns:xm="http://schemas.microsoft.com/office/excel/2006/main">
          <x14:cfRule type="expression" priority="1285" id="{84D6D612-6AF0-4402-BF39-DFE97A33E5E8}">
            <xm:f>$Z$8='Assessment Details'!$Q$23</xm:f>
            <x14:dxf>
              <font>
                <color theme="0"/>
              </font>
              <fill>
                <patternFill>
                  <bgColor theme="0"/>
                </patternFill>
              </fill>
            </x14:dxf>
          </x14:cfRule>
          <xm:sqref>U194</xm:sqref>
        </x14:conditionalFormatting>
        <x14:conditionalFormatting xmlns:xm="http://schemas.microsoft.com/office/excel/2006/main">
          <x14:cfRule type="expression" priority="1284" id="{6AF589B5-841E-4955-967B-DDB6455B0222}">
            <xm:f>$Z$8='Assessment Details'!$Q$23</xm:f>
            <x14:dxf>
              <border>
                <left style="thin">
                  <color theme="0"/>
                </left>
                <right style="thin">
                  <color theme="0"/>
                </right>
                <top style="thin">
                  <color theme="0"/>
                </top>
                <bottom style="thin">
                  <color theme="0"/>
                </bottom>
                <vertical/>
                <horizontal/>
              </border>
            </x14:dxf>
          </x14:cfRule>
          <xm:sqref>U194</xm:sqref>
        </x14:conditionalFormatting>
        <x14:conditionalFormatting xmlns:xm="http://schemas.microsoft.com/office/excel/2006/main">
          <x14:cfRule type="expression" priority="1273" id="{680C9B30-37B3-4797-A8FC-161D3F09DDD1}">
            <xm:f>$S$8='Assessment Details'!$Q$23</xm:f>
            <x14:dxf>
              <font>
                <color theme="0"/>
              </font>
              <fill>
                <patternFill>
                  <bgColor theme="0"/>
                </patternFill>
              </fill>
              <border>
                <vertical/>
                <horizontal/>
              </border>
            </x14:dxf>
          </x14:cfRule>
          <xm:sqref>N199:N200</xm:sqref>
        </x14:conditionalFormatting>
        <x14:conditionalFormatting xmlns:xm="http://schemas.microsoft.com/office/excel/2006/main">
          <x14:cfRule type="expression" priority="1272" id="{AE7630F1-E9A4-4A8E-8513-61D2B0D218BD}">
            <xm:f>$S$8='Assessment Details'!$Q$23</xm:f>
            <x14:dxf>
              <border>
                <left style="thin">
                  <color theme="0"/>
                </left>
                <right style="thin">
                  <color theme="0"/>
                </right>
                <top style="thin">
                  <color theme="0"/>
                </top>
                <bottom style="thin">
                  <color theme="0"/>
                </bottom>
                <vertical/>
                <horizontal/>
              </border>
            </x14:dxf>
          </x14:cfRule>
          <xm:sqref>N199:N200</xm:sqref>
        </x14:conditionalFormatting>
        <x14:conditionalFormatting xmlns:xm="http://schemas.microsoft.com/office/excel/2006/main">
          <x14:cfRule type="expression" priority="1271" id="{3957C064-5083-431A-AC50-6D6297886495}">
            <xm:f>$Z$8='Assessment Details'!$Q$23</xm:f>
            <x14:dxf>
              <font>
                <color theme="0"/>
              </font>
              <fill>
                <patternFill>
                  <bgColor theme="0"/>
                </patternFill>
              </fill>
            </x14:dxf>
          </x14:cfRule>
          <xm:sqref>X199:Y200</xm:sqref>
        </x14:conditionalFormatting>
        <x14:conditionalFormatting xmlns:xm="http://schemas.microsoft.com/office/excel/2006/main">
          <x14:cfRule type="expression" priority="1270" id="{FE2904CF-7A9A-4A28-8B4E-E103FAFFB6AE}">
            <xm:f>$Z$8='Assessment Details'!$Q$23</xm:f>
            <x14:dxf>
              <border>
                <left style="thin">
                  <color theme="0"/>
                </left>
                <right style="thin">
                  <color theme="0"/>
                </right>
                <top style="thin">
                  <color theme="0"/>
                </top>
                <bottom style="thin">
                  <color theme="0"/>
                </bottom>
                <vertical/>
                <horizontal/>
              </border>
            </x14:dxf>
          </x14:cfRule>
          <xm:sqref>X199:Y200</xm:sqref>
        </x14:conditionalFormatting>
        <x14:conditionalFormatting xmlns:xm="http://schemas.microsoft.com/office/excel/2006/main">
          <x14:cfRule type="expression" priority="1256" id="{99BF82AF-6DDE-4C97-9EDE-55F2D2148B47}">
            <xm:f>$Z$8='Assessment Details'!$Q$23</xm:f>
            <x14:dxf>
              <font>
                <color theme="0"/>
              </font>
              <fill>
                <patternFill>
                  <bgColor theme="0"/>
                </patternFill>
              </fill>
            </x14:dxf>
          </x14:cfRule>
          <xm:sqref>U199:U200</xm:sqref>
        </x14:conditionalFormatting>
        <x14:conditionalFormatting xmlns:xm="http://schemas.microsoft.com/office/excel/2006/main">
          <x14:cfRule type="expression" priority="1255" id="{786C99D9-805D-4EC4-AAA5-946042835C3F}">
            <xm:f>$Z$8='Assessment Details'!$Q$23</xm:f>
            <x14:dxf>
              <border>
                <left style="thin">
                  <color theme="0"/>
                </left>
                <right style="thin">
                  <color theme="0"/>
                </right>
                <top style="thin">
                  <color theme="0"/>
                </top>
                <bottom style="thin">
                  <color theme="0"/>
                </bottom>
                <vertical/>
                <horizontal/>
              </border>
            </x14:dxf>
          </x14:cfRule>
          <xm:sqref>U199:U200</xm:sqref>
        </x14:conditionalFormatting>
        <x14:conditionalFormatting xmlns:xm="http://schemas.microsoft.com/office/excel/2006/main">
          <x14:cfRule type="expression" priority="1244" id="{EA46645F-FDB6-46DD-AF04-1ACC11A62A19}">
            <xm:f>$S$8='Assessment Details'!$Q$23</xm:f>
            <x14:dxf>
              <font>
                <color theme="0"/>
              </font>
              <fill>
                <patternFill>
                  <bgColor theme="0"/>
                </patternFill>
              </fill>
              <border>
                <vertical/>
                <horizontal/>
              </border>
            </x14:dxf>
          </x14:cfRule>
          <xm:sqref>N202:N203</xm:sqref>
        </x14:conditionalFormatting>
        <x14:conditionalFormatting xmlns:xm="http://schemas.microsoft.com/office/excel/2006/main">
          <x14:cfRule type="expression" priority="1243" id="{D8E5C5B9-67F1-4EFA-AAF7-A49BD24BB822}">
            <xm:f>$S$8='Assessment Details'!$Q$23</xm:f>
            <x14:dxf>
              <border>
                <left style="thin">
                  <color theme="0"/>
                </left>
                <right style="thin">
                  <color theme="0"/>
                </right>
                <top style="thin">
                  <color theme="0"/>
                </top>
                <bottom style="thin">
                  <color theme="0"/>
                </bottom>
                <vertical/>
                <horizontal/>
              </border>
            </x14:dxf>
          </x14:cfRule>
          <xm:sqref>N202:N203</xm:sqref>
        </x14:conditionalFormatting>
        <x14:conditionalFormatting xmlns:xm="http://schemas.microsoft.com/office/excel/2006/main">
          <x14:cfRule type="expression" priority="1242" id="{07B8799B-6971-4378-B289-9A4994B8B5F7}">
            <xm:f>$Z$8='Assessment Details'!$Q$23</xm:f>
            <x14:dxf>
              <font>
                <color theme="0"/>
              </font>
              <fill>
                <patternFill>
                  <bgColor theme="0"/>
                </patternFill>
              </fill>
            </x14:dxf>
          </x14:cfRule>
          <xm:sqref>X202:Y203</xm:sqref>
        </x14:conditionalFormatting>
        <x14:conditionalFormatting xmlns:xm="http://schemas.microsoft.com/office/excel/2006/main">
          <x14:cfRule type="expression" priority="1241" id="{F6392F3B-C379-4DBE-BEC1-F94861634129}">
            <xm:f>$Z$8='Assessment Details'!$Q$23</xm:f>
            <x14:dxf>
              <border>
                <left style="thin">
                  <color theme="0"/>
                </left>
                <right style="thin">
                  <color theme="0"/>
                </right>
                <top style="thin">
                  <color theme="0"/>
                </top>
                <bottom style="thin">
                  <color theme="0"/>
                </bottom>
                <vertical/>
                <horizontal/>
              </border>
            </x14:dxf>
          </x14:cfRule>
          <xm:sqref>X202:Y203</xm:sqref>
        </x14:conditionalFormatting>
        <x14:conditionalFormatting xmlns:xm="http://schemas.microsoft.com/office/excel/2006/main">
          <x14:cfRule type="expression" priority="1227" id="{227D99A2-8A89-4449-B850-632A63640735}">
            <xm:f>$Z$8='Assessment Details'!$Q$23</xm:f>
            <x14:dxf>
              <font>
                <color theme="0"/>
              </font>
              <fill>
                <patternFill>
                  <bgColor theme="0"/>
                </patternFill>
              </fill>
            </x14:dxf>
          </x14:cfRule>
          <xm:sqref>U202:U203</xm:sqref>
        </x14:conditionalFormatting>
        <x14:conditionalFormatting xmlns:xm="http://schemas.microsoft.com/office/excel/2006/main">
          <x14:cfRule type="expression" priority="1226" id="{ED8048D2-72D6-46EC-B068-FC4231F93B04}">
            <xm:f>$Z$8='Assessment Details'!$Q$23</xm:f>
            <x14:dxf>
              <border>
                <left style="thin">
                  <color theme="0"/>
                </left>
                <right style="thin">
                  <color theme="0"/>
                </right>
                <top style="thin">
                  <color theme="0"/>
                </top>
                <bottom style="thin">
                  <color theme="0"/>
                </bottom>
                <vertical/>
                <horizontal/>
              </border>
            </x14:dxf>
          </x14:cfRule>
          <xm:sqref>U202:U203</xm:sqref>
        </x14:conditionalFormatting>
        <x14:conditionalFormatting xmlns:xm="http://schemas.microsoft.com/office/excel/2006/main">
          <x14:cfRule type="expression" priority="1215" id="{3B117DA8-9379-4B2E-8949-4302D2DFF4CA}">
            <xm:f>$S$8='Assessment Details'!$Q$23</xm:f>
            <x14:dxf>
              <font>
                <color theme="0"/>
              </font>
              <fill>
                <patternFill>
                  <bgColor theme="0"/>
                </patternFill>
              </fill>
              <border>
                <vertical/>
                <horizontal/>
              </border>
            </x14:dxf>
          </x14:cfRule>
          <xm:sqref>N205:N206</xm:sqref>
        </x14:conditionalFormatting>
        <x14:conditionalFormatting xmlns:xm="http://schemas.microsoft.com/office/excel/2006/main">
          <x14:cfRule type="expression" priority="1214" id="{59458F57-A529-4C23-A8EF-65BECC09D98B}">
            <xm:f>$S$8='Assessment Details'!$Q$23</xm:f>
            <x14:dxf>
              <border>
                <left style="thin">
                  <color theme="0"/>
                </left>
                <right style="thin">
                  <color theme="0"/>
                </right>
                <top style="thin">
                  <color theme="0"/>
                </top>
                <bottom style="thin">
                  <color theme="0"/>
                </bottom>
                <vertical/>
                <horizontal/>
              </border>
            </x14:dxf>
          </x14:cfRule>
          <xm:sqref>N205:N206</xm:sqref>
        </x14:conditionalFormatting>
        <x14:conditionalFormatting xmlns:xm="http://schemas.microsoft.com/office/excel/2006/main">
          <x14:cfRule type="expression" priority="1213" id="{14512774-9395-4789-B891-50B6BA153938}">
            <xm:f>$Z$8='Assessment Details'!$Q$23</xm:f>
            <x14:dxf>
              <font>
                <color theme="0"/>
              </font>
              <fill>
                <patternFill>
                  <bgColor theme="0"/>
                </patternFill>
              </fill>
            </x14:dxf>
          </x14:cfRule>
          <xm:sqref>X205:Y206</xm:sqref>
        </x14:conditionalFormatting>
        <x14:conditionalFormatting xmlns:xm="http://schemas.microsoft.com/office/excel/2006/main">
          <x14:cfRule type="expression" priority="1212" id="{50CB0CD0-203C-47B4-BFB4-C39E6228CBE2}">
            <xm:f>$Z$8='Assessment Details'!$Q$23</xm:f>
            <x14:dxf>
              <border>
                <left style="thin">
                  <color theme="0"/>
                </left>
                <right style="thin">
                  <color theme="0"/>
                </right>
                <top style="thin">
                  <color theme="0"/>
                </top>
                <bottom style="thin">
                  <color theme="0"/>
                </bottom>
                <vertical/>
                <horizontal/>
              </border>
            </x14:dxf>
          </x14:cfRule>
          <xm:sqref>X205:Y206</xm:sqref>
        </x14:conditionalFormatting>
        <x14:conditionalFormatting xmlns:xm="http://schemas.microsoft.com/office/excel/2006/main">
          <x14:cfRule type="expression" priority="1198" id="{6DDE72B5-2604-4E19-B4C4-BDDED8942872}">
            <xm:f>$Z$8='Assessment Details'!$Q$23</xm:f>
            <x14:dxf>
              <font>
                <color theme="0"/>
              </font>
              <fill>
                <patternFill>
                  <bgColor theme="0"/>
                </patternFill>
              </fill>
            </x14:dxf>
          </x14:cfRule>
          <xm:sqref>U205:U206</xm:sqref>
        </x14:conditionalFormatting>
        <x14:conditionalFormatting xmlns:xm="http://schemas.microsoft.com/office/excel/2006/main">
          <x14:cfRule type="expression" priority="1156" id="{13F0E4D5-5D84-457B-833F-A9C88335247C}">
            <xm:f>$S$8='Assessment Details'!$Q$23</xm:f>
            <x14:dxf>
              <font>
                <color theme="0"/>
              </font>
              <fill>
                <patternFill>
                  <bgColor theme="0"/>
                </patternFill>
              </fill>
              <border>
                <vertical/>
                <horizontal/>
              </border>
            </x14:dxf>
          </x14:cfRule>
          <xm:sqref>N223</xm:sqref>
        </x14:conditionalFormatting>
        <x14:conditionalFormatting xmlns:xm="http://schemas.microsoft.com/office/excel/2006/main">
          <x14:cfRule type="expression" priority="1155" id="{2015831A-B28A-425A-ABEB-1D83A788414C}">
            <xm:f>$S$8='Assessment Details'!$Q$23</xm:f>
            <x14:dxf>
              <border>
                <left style="thin">
                  <color theme="0"/>
                </left>
                <right style="thin">
                  <color theme="0"/>
                </right>
                <top style="thin">
                  <color theme="0"/>
                </top>
                <bottom style="thin">
                  <color theme="0"/>
                </bottom>
                <vertical/>
                <horizontal/>
              </border>
            </x14:dxf>
          </x14:cfRule>
          <xm:sqref>N223</xm:sqref>
        </x14:conditionalFormatting>
        <x14:conditionalFormatting xmlns:xm="http://schemas.microsoft.com/office/excel/2006/main">
          <x14:cfRule type="expression" priority="1154" id="{D1978515-543D-41B4-9725-0FF87B793AA6}">
            <xm:f>$Z$8='Assessment Details'!$Q$23</xm:f>
            <x14:dxf>
              <font>
                <color theme="0"/>
              </font>
              <fill>
                <patternFill>
                  <bgColor theme="0"/>
                </patternFill>
              </fill>
            </x14:dxf>
          </x14:cfRule>
          <xm:sqref>U223</xm:sqref>
        </x14:conditionalFormatting>
        <x14:conditionalFormatting xmlns:xm="http://schemas.microsoft.com/office/excel/2006/main">
          <x14:cfRule type="expression" priority="1153" id="{B1BDAA96-7415-4AA8-83B0-83554A871CE4}">
            <xm:f>$Z$8='Assessment Details'!$Q$23</xm:f>
            <x14:dxf>
              <border>
                <left style="thin">
                  <color theme="0"/>
                </left>
                <right style="thin">
                  <color theme="0"/>
                </right>
                <top style="thin">
                  <color theme="0"/>
                </top>
                <bottom style="thin">
                  <color theme="0"/>
                </bottom>
                <vertical/>
                <horizontal/>
              </border>
            </x14:dxf>
          </x14:cfRule>
          <xm:sqref>U223</xm:sqref>
        </x14:conditionalFormatting>
        <x14:conditionalFormatting xmlns:xm="http://schemas.microsoft.com/office/excel/2006/main">
          <x14:cfRule type="expression" priority="1126" id="{E9C8BC85-79C2-48ED-83F9-A828663B02BC}">
            <xm:f>$Z$8='Assessment Details'!$Q$23</xm:f>
            <x14:dxf>
              <font>
                <color theme="0"/>
              </font>
              <fill>
                <patternFill>
                  <bgColor theme="0"/>
                </patternFill>
              </fill>
            </x14:dxf>
          </x14:cfRule>
          <xm:sqref>X195:Y195</xm:sqref>
        </x14:conditionalFormatting>
        <x14:conditionalFormatting xmlns:xm="http://schemas.microsoft.com/office/excel/2006/main">
          <x14:cfRule type="expression" priority="1125" id="{05FF17F0-138A-4115-8735-7DF4487C773A}">
            <xm:f>$Z$8='Assessment Details'!$Q$23</xm:f>
            <x14:dxf>
              <border>
                <left style="thin">
                  <color theme="0"/>
                </left>
                <right style="thin">
                  <color theme="0"/>
                </right>
                <top style="thin">
                  <color theme="0"/>
                </top>
                <bottom style="thin">
                  <color theme="0"/>
                </bottom>
                <vertical/>
                <horizontal/>
              </border>
            </x14:dxf>
          </x14:cfRule>
          <xm:sqref>X195:Y195</xm:sqref>
        </x14:conditionalFormatting>
        <x14:conditionalFormatting xmlns:xm="http://schemas.microsoft.com/office/excel/2006/main">
          <x14:cfRule type="expression" priority="1104" id="{0BBD319E-E165-41D8-A776-0E75303B2C6A}">
            <xm:f>$S$8='Assessment Details'!$Q$23</xm:f>
            <x14:dxf>
              <font>
                <color theme="0"/>
              </font>
              <fill>
                <patternFill>
                  <bgColor theme="0"/>
                </patternFill>
              </fill>
              <border>
                <vertical/>
                <horizontal/>
              </border>
            </x14:dxf>
          </x14:cfRule>
          <xm:sqref>N197</xm:sqref>
        </x14:conditionalFormatting>
        <x14:conditionalFormatting xmlns:xm="http://schemas.microsoft.com/office/excel/2006/main">
          <x14:cfRule type="expression" priority="1103" id="{64A52EC4-7784-42FF-9840-B95E6C5032D4}">
            <xm:f>$S$8='Assessment Details'!$Q$23</xm:f>
            <x14:dxf>
              <border>
                <left style="thin">
                  <color theme="0"/>
                </left>
                <right style="thin">
                  <color theme="0"/>
                </right>
                <top style="thin">
                  <color theme="0"/>
                </top>
                <bottom style="thin">
                  <color theme="0"/>
                </bottom>
                <vertical/>
                <horizontal/>
              </border>
            </x14:dxf>
          </x14:cfRule>
          <xm:sqref>N197</xm:sqref>
        </x14:conditionalFormatting>
        <x14:conditionalFormatting xmlns:xm="http://schemas.microsoft.com/office/excel/2006/main">
          <x14:cfRule type="expression" priority="1102" id="{50EA2D5F-4925-4DE9-8175-24D7B0FAC38D}">
            <xm:f>$Z$8='Assessment Details'!$Q$23</xm:f>
            <x14:dxf>
              <font>
                <color theme="0"/>
              </font>
              <fill>
                <patternFill>
                  <bgColor theme="0"/>
                </patternFill>
              </fill>
            </x14:dxf>
          </x14:cfRule>
          <xm:sqref>X197:Y197</xm:sqref>
        </x14:conditionalFormatting>
        <x14:conditionalFormatting xmlns:xm="http://schemas.microsoft.com/office/excel/2006/main">
          <x14:cfRule type="expression" priority="1101" id="{CDBF1BBA-0622-4E20-A9ED-BB386E735DE0}">
            <xm:f>$Z$8='Assessment Details'!$Q$23</xm:f>
            <x14:dxf>
              <border>
                <left style="thin">
                  <color theme="0"/>
                </left>
                <right style="thin">
                  <color theme="0"/>
                </right>
                <top style="thin">
                  <color theme="0"/>
                </top>
                <bottom style="thin">
                  <color theme="0"/>
                </bottom>
                <vertical/>
                <horizontal/>
              </border>
            </x14:dxf>
          </x14:cfRule>
          <xm:sqref>X197:Y197</xm:sqref>
        </x14:conditionalFormatting>
        <x14:conditionalFormatting xmlns:xm="http://schemas.microsoft.com/office/excel/2006/main">
          <x14:cfRule type="expression" priority="1100" id="{BA600EB2-D894-4A32-9E7F-A23795F6FD85}">
            <xm:f>$Z$8='Assessment Details'!$Q$23</xm:f>
            <x14:dxf>
              <font>
                <color theme="0"/>
              </font>
              <fill>
                <patternFill>
                  <bgColor theme="0"/>
                </patternFill>
              </fill>
            </x14:dxf>
          </x14:cfRule>
          <xm:sqref>U197</xm:sqref>
        </x14:conditionalFormatting>
        <x14:conditionalFormatting xmlns:xm="http://schemas.microsoft.com/office/excel/2006/main">
          <x14:cfRule type="expression" priority="1099" id="{10BA7BE5-3E03-47AB-9674-4127F705184C}">
            <xm:f>$Z$8='Assessment Details'!$Q$23</xm:f>
            <x14:dxf>
              <border>
                <left style="thin">
                  <color theme="0"/>
                </left>
                <right style="thin">
                  <color theme="0"/>
                </right>
                <top style="thin">
                  <color theme="0"/>
                </top>
                <bottom style="thin">
                  <color theme="0"/>
                </bottom>
                <vertical/>
                <horizontal/>
              </border>
            </x14:dxf>
          </x14:cfRule>
          <xm:sqref>U197</xm:sqref>
        </x14:conditionalFormatting>
        <x14:conditionalFormatting xmlns:xm="http://schemas.microsoft.com/office/excel/2006/main">
          <x14:cfRule type="expression" priority="1087" id="{71D00486-2067-46DC-BDC1-5EE4D7A8ED6D}">
            <xm:f>$S$8='Assessment Details'!$Q$23</xm:f>
            <x14:dxf>
              <font>
                <color theme="0"/>
              </font>
              <fill>
                <patternFill>
                  <bgColor theme="0"/>
                </patternFill>
              </fill>
              <border>
                <vertical/>
                <horizontal/>
              </border>
            </x14:dxf>
          </x14:cfRule>
          <xm:sqref>Q62:R62</xm:sqref>
        </x14:conditionalFormatting>
        <x14:conditionalFormatting xmlns:xm="http://schemas.microsoft.com/office/excel/2006/main">
          <x14:cfRule type="expression" priority="1086" id="{28E4A3D0-1638-4345-A978-E56A4FF5AE84}">
            <xm:f>$S$8='Assessment Details'!$Q$23</xm:f>
            <x14:dxf>
              <border>
                <left style="thin">
                  <color theme="0"/>
                </left>
                <right style="thin">
                  <color theme="0"/>
                </right>
                <top style="thin">
                  <color theme="0"/>
                </top>
                <bottom style="thin">
                  <color theme="0"/>
                </bottom>
                <vertical/>
                <horizontal/>
              </border>
            </x14:dxf>
          </x14:cfRule>
          <xm:sqref>Q62:R62</xm:sqref>
        </x14:conditionalFormatting>
        <x14:conditionalFormatting xmlns:xm="http://schemas.microsoft.com/office/excel/2006/main">
          <x14:cfRule type="expression" priority="1085" id="{ABC178BE-55CD-4AD6-9B80-E1ADE74D0F65}">
            <xm:f>$Z$8='Assessment Details'!$Q$23</xm:f>
            <x14:dxf>
              <font>
                <color theme="0"/>
              </font>
              <fill>
                <patternFill>
                  <bgColor theme="0"/>
                </patternFill>
              </fill>
            </x14:dxf>
          </x14:cfRule>
          <xm:sqref>U62</xm:sqref>
        </x14:conditionalFormatting>
        <x14:conditionalFormatting xmlns:xm="http://schemas.microsoft.com/office/excel/2006/main">
          <x14:cfRule type="expression" priority="1084" id="{B34A33E1-F52C-4841-AEB3-E470F60604C5}">
            <xm:f>$Z$8='Assessment Details'!$Q$23</xm:f>
            <x14:dxf>
              <border>
                <left style="thin">
                  <color theme="0"/>
                </left>
                <right style="thin">
                  <color theme="0"/>
                </right>
                <top style="thin">
                  <color theme="0"/>
                </top>
                <bottom style="thin">
                  <color theme="0"/>
                </bottom>
                <vertical/>
                <horizontal/>
              </border>
            </x14:dxf>
          </x14:cfRule>
          <xm:sqref>U62</xm:sqref>
        </x14:conditionalFormatting>
        <x14:conditionalFormatting xmlns:xm="http://schemas.microsoft.com/office/excel/2006/main">
          <x14:cfRule type="expression" priority="1075" id="{2E906952-F76B-4002-AEF2-19C384210E97}">
            <xm:f>$S$8='Assessment Details'!$Q$23</xm:f>
            <x14:dxf>
              <font>
                <color theme="0"/>
              </font>
              <fill>
                <patternFill>
                  <bgColor theme="0"/>
                </patternFill>
              </fill>
              <border>
                <vertical/>
                <horizontal/>
              </border>
            </x14:dxf>
          </x14:cfRule>
          <xm:sqref>Q91:R91</xm:sqref>
        </x14:conditionalFormatting>
        <x14:conditionalFormatting xmlns:xm="http://schemas.microsoft.com/office/excel/2006/main">
          <x14:cfRule type="expression" priority="1074" id="{016CED2A-DEE6-4A52-BCCD-A88530D2F7A7}">
            <xm:f>$S$8='Assessment Details'!$Q$23</xm:f>
            <x14:dxf>
              <border>
                <left style="thin">
                  <color theme="0"/>
                </left>
                <right style="thin">
                  <color theme="0"/>
                </right>
                <top style="thin">
                  <color theme="0"/>
                </top>
                <bottom style="thin">
                  <color theme="0"/>
                </bottom>
                <vertical/>
                <horizontal/>
              </border>
            </x14:dxf>
          </x14:cfRule>
          <xm:sqref>Q91:R91</xm:sqref>
        </x14:conditionalFormatting>
        <x14:conditionalFormatting xmlns:xm="http://schemas.microsoft.com/office/excel/2006/main">
          <x14:cfRule type="expression" priority="1073" id="{AA2B09B7-D032-4EDC-9E2C-B2613AF925BA}">
            <xm:f>$Z$8='Assessment Details'!$Q$23</xm:f>
            <x14:dxf>
              <font>
                <color theme="0"/>
              </font>
              <fill>
                <patternFill>
                  <bgColor theme="0"/>
                </patternFill>
              </fill>
            </x14:dxf>
          </x14:cfRule>
          <xm:sqref>U91</xm:sqref>
        </x14:conditionalFormatting>
        <x14:conditionalFormatting xmlns:xm="http://schemas.microsoft.com/office/excel/2006/main">
          <x14:cfRule type="expression" priority="1072" id="{2E11EAEC-490D-47E0-AC73-6DF2825CAB7B}">
            <xm:f>$Z$8='Assessment Details'!$Q$23</xm:f>
            <x14:dxf>
              <border>
                <left style="thin">
                  <color theme="0"/>
                </left>
                <right style="thin">
                  <color theme="0"/>
                </right>
                <top style="thin">
                  <color theme="0"/>
                </top>
                <bottom style="thin">
                  <color theme="0"/>
                </bottom>
                <vertical/>
                <horizontal/>
              </border>
            </x14:dxf>
          </x14:cfRule>
          <xm:sqref>U91</xm:sqref>
        </x14:conditionalFormatting>
        <x14:conditionalFormatting xmlns:xm="http://schemas.microsoft.com/office/excel/2006/main">
          <x14:cfRule type="expression" priority="1063" id="{EA046676-BAF8-44C4-868F-A279D4782715}">
            <xm:f>$S$8='Assessment Details'!$Q$23</xm:f>
            <x14:dxf>
              <font>
                <color theme="0"/>
              </font>
              <fill>
                <patternFill>
                  <bgColor theme="0"/>
                </patternFill>
              </fill>
              <border>
                <vertical/>
                <horizontal/>
              </border>
            </x14:dxf>
          </x14:cfRule>
          <xm:sqref>Q100:R100</xm:sqref>
        </x14:conditionalFormatting>
        <x14:conditionalFormatting xmlns:xm="http://schemas.microsoft.com/office/excel/2006/main">
          <x14:cfRule type="expression" priority="1062" id="{78F98CD6-B22A-40B7-BA85-927D4EDA73A5}">
            <xm:f>$S$8='Assessment Details'!$Q$23</xm:f>
            <x14:dxf>
              <border>
                <left style="thin">
                  <color theme="0"/>
                </left>
                <right style="thin">
                  <color theme="0"/>
                </right>
                <top style="thin">
                  <color theme="0"/>
                </top>
                <bottom style="thin">
                  <color theme="0"/>
                </bottom>
                <vertical/>
                <horizontal/>
              </border>
            </x14:dxf>
          </x14:cfRule>
          <xm:sqref>Q100:R100</xm:sqref>
        </x14:conditionalFormatting>
        <x14:conditionalFormatting xmlns:xm="http://schemas.microsoft.com/office/excel/2006/main">
          <x14:cfRule type="expression" priority="1061" id="{D00CC6D4-5E6B-4F94-B0D6-BCA5015A55FC}">
            <xm:f>$Z$8='Assessment Details'!$Q$23</xm:f>
            <x14:dxf>
              <font>
                <color theme="0"/>
              </font>
              <fill>
                <patternFill>
                  <bgColor theme="0"/>
                </patternFill>
              </fill>
            </x14:dxf>
          </x14:cfRule>
          <xm:sqref>U100</xm:sqref>
        </x14:conditionalFormatting>
        <x14:conditionalFormatting xmlns:xm="http://schemas.microsoft.com/office/excel/2006/main">
          <x14:cfRule type="expression" priority="1060" id="{DA754FE4-0819-4A01-9771-C8FB065924D0}">
            <xm:f>$Z$8='Assessment Details'!$Q$23</xm:f>
            <x14:dxf>
              <border>
                <left style="thin">
                  <color theme="0"/>
                </left>
                <right style="thin">
                  <color theme="0"/>
                </right>
                <top style="thin">
                  <color theme="0"/>
                </top>
                <bottom style="thin">
                  <color theme="0"/>
                </bottom>
                <vertical/>
                <horizontal/>
              </border>
            </x14:dxf>
          </x14:cfRule>
          <xm:sqref>U100</xm:sqref>
        </x14:conditionalFormatting>
        <x14:conditionalFormatting xmlns:xm="http://schemas.microsoft.com/office/excel/2006/main">
          <x14:cfRule type="expression" priority="1051" id="{72E050F9-DC77-4BE7-B77A-34D110C0BE12}">
            <xm:f>$S$8='Assessment Details'!$Q$23</xm:f>
            <x14:dxf>
              <font>
                <color theme="0"/>
              </font>
              <fill>
                <patternFill>
                  <bgColor theme="0"/>
                </patternFill>
              </fill>
              <border>
                <vertical/>
                <horizontal/>
              </border>
            </x14:dxf>
          </x14:cfRule>
          <xm:sqref>Q114:R114</xm:sqref>
        </x14:conditionalFormatting>
        <x14:conditionalFormatting xmlns:xm="http://schemas.microsoft.com/office/excel/2006/main">
          <x14:cfRule type="expression" priority="1050" id="{48CF0650-BF7E-44AC-9F17-75C452C88A1E}">
            <xm:f>$S$8='Assessment Details'!$Q$23</xm:f>
            <x14:dxf>
              <border>
                <left style="thin">
                  <color theme="0"/>
                </left>
                <right style="thin">
                  <color theme="0"/>
                </right>
                <top style="thin">
                  <color theme="0"/>
                </top>
                <bottom style="thin">
                  <color theme="0"/>
                </bottom>
                <vertical/>
                <horizontal/>
              </border>
            </x14:dxf>
          </x14:cfRule>
          <xm:sqref>Q114:R114</xm:sqref>
        </x14:conditionalFormatting>
        <x14:conditionalFormatting xmlns:xm="http://schemas.microsoft.com/office/excel/2006/main">
          <x14:cfRule type="expression" priority="1049" id="{7D5772DD-D924-4429-89D0-A0B89E56E56E}">
            <xm:f>$Z$8='Assessment Details'!$Q$23</xm:f>
            <x14:dxf>
              <font>
                <color theme="0"/>
              </font>
              <fill>
                <patternFill>
                  <bgColor theme="0"/>
                </patternFill>
              </fill>
            </x14:dxf>
          </x14:cfRule>
          <xm:sqref>U114</xm:sqref>
        </x14:conditionalFormatting>
        <x14:conditionalFormatting xmlns:xm="http://schemas.microsoft.com/office/excel/2006/main">
          <x14:cfRule type="expression" priority="1048" id="{76622B2F-5B20-4947-A273-3BD00F9314A7}">
            <xm:f>$Z$8='Assessment Details'!$Q$23</xm:f>
            <x14:dxf>
              <border>
                <left style="thin">
                  <color theme="0"/>
                </left>
                <right style="thin">
                  <color theme="0"/>
                </right>
                <top style="thin">
                  <color theme="0"/>
                </top>
                <bottom style="thin">
                  <color theme="0"/>
                </bottom>
                <vertical/>
                <horizontal/>
              </border>
            </x14:dxf>
          </x14:cfRule>
          <xm:sqref>U114</xm:sqref>
        </x14:conditionalFormatting>
        <x14:conditionalFormatting xmlns:xm="http://schemas.microsoft.com/office/excel/2006/main">
          <x14:cfRule type="expression" priority="1039" id="{1FFE2CDF-5A3B-464B-B27F-AEE5C806C559}">
            <xm:f>$S$8='Assessment Details'!$Q$23</xm:f>
            <x14:dxf>
              <font>
                <color theme="0"/>
              </font>
              <fill>
                <patternFill>
                  <bgColor theme="0"/>
                </patternFill>
              </fill>
              <border>
                <vertical/>
                <horizontal/>
              </border>
            </x14:dxf>
          </x14:cfRule>
          <xm:sqref>Q144:R144</xm:sqref>
        </x14:conditionalFormatting>
        <x14:conditionalFormatting xmlns:xm="http://schemas.microsoft.com/office/excel/2006/main">
          <x14:cfRule type="expression" priority="1038" id="{8E3B65D4-BF8F-41BB-8BC1-47A89858900A}">
            <xm:f>$S$8='Assessment Details'!$Q$23</xm:f>
            <x14:dxf>
              <border>
                <left style="thin">
                  <color theme="0"/>
                </left>
                <right style="thin">
                  <color theme="0"/>
                </right>
                <top style="thin">
                  <color theme="0"/>
                </top>
                <bottom style="thin">
                  <color theme="0"/>
                </bottom>
                <vertical/>
                <horizontal/>
              </border>
            </x14:dxf>
          </x14:cfRule>
          <xm:sqref>Q144:R144</xm:sqref>
        </x14:conditionalFormatting>
        <x14:conditionalFormatting xmlns:xm="http://schemas.microsoft.com/office/excel/2006/main">
          <x14:cfRule type="expression" priority="1037" id="{4D02F44B-AD7E-441E-80DD-0A60777C100A}">
            <xm:f>$Z$8='Assessment Details'!$Q$23</xm:f>
            <x14:dxf>
              <font>
                <color theme="0"/>
              </font>
              <fill>
                <patternFill>
                  <bgColor theme="0"/>
                </patternFill>
              </fill>
            </x14:dxf>
          </x14:cfRule>
          <xm:sqref>U144</xm:sqref>
        </x14:conditionalFormatting>
        <x14:conditionalFormatting xmlns:xm="http://schemas.microsoft.com/office/excel/2006/main">
          <x14:cfRule type="expression" priority="1036" id="{C7F05634-C1C7-4679-A9F9-F9612083CF9F}">
            <xm:f>$Z$8='Assessment Details'!$Q$23</xm:f>
            <x14:dxf>
              <border>
                <left style="thin">
                  <color theme="0"/>
                </left>
                <right style="thin">
                  <color theme="0"/>
                </right>
                <top style="thin">
                  <color theme="0"/>
                </top>
                <bottom style="thin">
                  <color theme="0"/>
                </bottom>
                <vertical/>
                <horizontal/>
              </border>
            </x14:dxf>
          </x14:cfRule>
          <xm:sqref>U144</xm:sqref>
        </x14:conditionalFormatting>
        <x14:conditionalFormatting xmlns:xm="http://schemas.microsoft.com/office/excel/2006/main">
          <x14:cfRule type="expression" priority="1027" id="{0056FDA5-F740-4214-8184-D291462FB1E4}">
            <xm:f>$S$8='Assessment Details'!$Q$23</xm:f>
            <x14:dxf>
              <font>
                <color theme="0"/>
              </font>
              <fill>
                <patternFill>
                  <bgColor theme="0"/>
                </patternFill>
              </fill>
              <border>
                <vertical/>
                <horizontal/>
              </border>
            </x14:dxf>
          </x14:cfRule>
          <xm:sqref>Q159:R159</xm:sqref>
        </x14:conditionalFormatting>
        <x14:conditionalFormatting xmlns:xm="http://schemas.microsoft.com/office/excel/2006/main">
          <x14:cfRule type="expression" priority="1026" id="{1BCD2277-3EAB-4A22-93BB-E26D28CC0C3A}">
            <xm:f>$S$8='Assessment Details'!$Q$23</xm:f>
            <x14:dxf>
              <border>
                <left style="thin">
                  <color theme="0"/>
                </left>
                <right style="thin">
                  <color theme="0"/>
                </right>
                <top style="thin">
                  <color theme="0"/>
                </top>
                <bottom style="thin">
                  <color theme="0"/>
                </bottom>
                <vertical/>
                <horizontal/>
              </border>
            </x14:dxf>
          </x14:cfRule>
          <xm:sqref>Q159:R159</xm:sqref>
        </x14:conditionalFormatting>
        <x14:conditionalFormatting xmlns:xm="http://schemas.microsoft.com/office/excel/2006/main">
          <x14:cfRule type="expression" priority="1025" id="{BA1EBAC0-8656-4B2A-BDB0-FC726DB0747D}">
            <xm:f>$Z$8='Assessment Details'!$Q$23</xm:f>
            <x14:dxf>
              <font>
                <color theme="0"/>
              </font>
              <fill>
                <patternFill>
                  <bgColor theme="0"/>
                </patternFill>
              </fill>
            </x14:dxf>
          </x14:cfRule>
          <xm:sqref>U159</xm:sqref>
        </x14:conditionalFormatting>
        <x14:conditionalFormatting xmlns:xm="http://schemas.microsoft.com/office/excel/2006/main">
          <x14:cfRule type="expression" priority="1024" id="{D40BFFAE-632F-4041-81F0-92A93FE14725}">
            <xm:f>$Z$8='Assessment Details'!$Q$23</xm:f>
            <x14:dxf>
              <border>
                <left style="thin">
                  <color theme="0"/>
                </left>
                <right style="thin">
                  <color theme="0"/>
                </right>
                <top style="thin">
                  <color theme="0"/>
                </top>
                <bottom style="thin">
                  <color theme="0"/>
                </bottom>
                <vertical/>
                <horizontal/>
              </border>
            </x14:dxf>
          </x14:cfRule>
          <xm:sqref>U159</xm:sqref>
        </x14:conditionalFormatting>
        <x14:conditionalFormatting xmlns:xm="http://schemas.microsoft.com/office/excel/2006/main">
          <x14:cfRule type="expression" priority="1015" id="{01659BDE-7E5B-4728-97BD-B3D5A26A65DA}">
            <xm:f>$S$8='Assessment Details'!$Q$23</xm:f>
            <x14:dxf>
              <font>
                <color theme="0"/>
              </font>
              <fill>
                <patternFill>
                  <bgColor theme="0"/>
                </patternFill>
              </fill>
              <border>
                <vertical/>
                <horizontal/>
              </border>
            </x14:dxf>
          </x14:cfRule>
          <xm:sqref>Q190:R190</xm:sqref>
        </x14:conditionalFormatting>
        <x14:conditionalFormatting xmlns:xm="http://schemas.microsoft.com/office/excel/2006/main">
          <x14:cfRule type="expression" priority="1014" id="{B2F0B264-AE4A-4FC5-ACBB-80DB6BD7C930}">
            <xm:f>$S$8='Assessment Details'!$Q$23</xm:f>
            <x14:dxf>
              <border>
                <left style="thin">
                  <color theme="0"/>
                </left>
                <right style="thin">
                  <color theme="0"/>
                </right>
                <top style="thin">
                  <color theme="0"/>
                </top>
                <bottom style="thin">
                  <color theme="0"/>
                </bottom>
                <vertical/>
                <horizontal/>
              </border>
            </x14:dxf>
          </x14:cfRule>
          <xm:sqref>Q190:R190</xm:sqref>
        </x14:conditionalFormatting>
        <x14:conditionalFormatting xmlns:xm="http://schemas.microsoft.com/office/excel/2006/main">
          <x14:cfRule type="expression" priority="1013" id="{A8CFDC61-3803-40AA-88E2-289AA29EC575}">
            <xm:f>$Z$8='Assessment Details'!$Q$23</xm:f>
            <x14:dxf>
              <font>
                <color theme="0"/>
              </font>
              <fill>
                <patternFill>
                  <bgColor theme="0"/>
                </patternFill>
              </fill>
            </x14:dxf>
          </x14:cfRule>
          <xm:sqref>U190</xm:sqref>
        </x14:conditionalFormatting>
        <x14:conditionalFormatting xmlns:xm="http://schemas.microsoft.com/office/excel/2006/main">
          <x14:cfRule type="expression" priority="1012" id="{A1ECE2F7-5534-47E3-AA5F-59EA4217462D}">
            <xm:f>$Z$8='Assessment Details'!$Q$23</xm:f>
            <x14:dxf>
              <border>
                <left style="thin">
                  <color theme="0"/>
                </left>
                <right style="thin">
                  <color theme="0"/>
                </right>
                <top style="thin">
                  <color theme="0"/>
                </top>
                <bottom style="thin">
                  <color theme="0"/>
                </bottom>
                <vertical/>
                <horizontal/>
              </border>
            </x14:dxf>
          </x14:cfRule>
          <xm:sqref>U190</xm:sqref>
        </x14:conditionalFormatting>
        <x14:conditionalFormatting xmlns:xm="http://schemas.microsoft.com/office/excel/2006/main">
          <x14:cfRule type="expression" priority="1003" id="{89C49241-A961-4AFA-940F-7360A325BAED}">
            <xm:f>$S$8='Assessment Details'!$Q$23</xm:f>
            <x14:dxf>
              <font>
                <color theme="0"/>
              </font>
              <fill>
                <patternFill>
                  <bgColor theme="0"/>
                </patternFill>
              </fill>
              <border>
                <vertical/>
                <horizontal/>
              </border>
            </x14:dxf>
          </x14:cfRule>
          <xm:sqref>Q207:R207</xm:sqref>
        </x14:conditionalFormatting>
        <x14:conditionalFormatting xmlns:xm="http://schemas.microsoft.com/office/excel/2006/main">
          <x14:cfRule type="expression" priority="1002" id="{BF658C0A-7B19-406B-A0E6-C17085941988}">
            <xm:f>$S$8='Assessment Details'!$Q$23</xm:f>
            <x14:dxf>
              <border>
                <left style="thin">
                  <color theme="0"/>
                </left>
                <right style="thin">
                  <color theme="0"/>
                </right>
                <top style="thin">
                  <color theme="0"/>
                </top>
                <bottom style="thin">
                  <color theme="0"/>
                </bottom>
                <vertical/>
                <horizontal/>
              </border>
            </x14:dxf>
          </x14:cfRule>
          <xm:sqref>Q207:R207</xm:sqref>
        </x14:conditionalFormatting>
        <x14:conditionalFormatting xmlns:xm="http://schemas.microsoft.com/office/excel/2006/main">
          <x14:cfRule type="expression" priority="1001" id="{43E8197F-C15F-4E6A-9D11-219C57008C5C}">
            <xm:f>$Z$8='Assessment Details'!$Q$23</xm:f>
            <x14:dxf>
              <font>
                <color theme="0"/>
              </font>
              <fill>
                <patternFill>
                  <bgColor theme="0"/>
                </patternFill>
              </fill>
            </x14:dxf>
          </x14:cfRule>
          <xm:sqref>U207</xm:sqref>
        </x14:conditionalFormatting>
        <x14:conditionalFormatting xmlns:xm="http://schemas.microsoft.com/office/excel/2006/main">
          <x14:cfRule type="expression" priority="1000" id="{F45E98F7-5F58-46EB-8121-5241DBEB9E82}">
            <xm:f>$Z$8='Assessment Details'!$Q$23</xm:f>
            <x14:dxf>
              <border>
                <left style="thin">
                  <color theme="0"/>
                </left>
                <right style="thin">
                  <color theme="0"/>
                </right>
                <top style="thin">
                  <color theme="0"/>
                </top>
                <bottom style="thin">
                  <color theme="0"/>
                </bottom>
                <vertical/>
                <horizontal/>
              </border>
            </x14:dxf>
          </x14:cfRule>
          <xm:sqref>U207</xm:sqref>
        </x14:conditionalFormatting>
        <x14:conditionalFormatting xmlns:xm="http://schemas.microsoft.com/office/excel/2006/main">
          <x14:cfRule type="expression" priority="989" id="{3B264B50-F180-4FE0-8A6C-12ECE604D2C9}">
            <xm:f>$Z$8='Assessment Details'!$Q$23</xm:f>
            <x14:dxf>
              <font>
                <color theme="0"/>
              </font>
              <fill>
                <patternFill>
                  <bgColor theme="0"/>
                </patternFill>
              </fill>
            </x14:dxf>
          </x14:cfRule>
          <xm:sqref>U224</xm:sqref>
        </x14:conditionalFormatting>
        <x14:conditionalFormatting xmlns:xm="http://schemas.microsoft.com/office/excel/2006/main">
          <x14:cfRule type="expression" priority="988" id="{6A2E87DA-EB79-40E0-873E-702FD57712F9}">
            <xm:f>$Z$8='Assessment Details'!$Q$23</xm:f>
            <x14:dxf>
              <border>
                <left style="thin">
                  <color theme="0"/>
                </left>
                <right style="thin">
                  <color theme="0"/>
                </right>
                <top style="thin">
                  <color theme="0"/>
                </top>
                <bottom style="thin">
                  <color theme="0"/>
                </bottom>
                <vertical/>
                <horizontal/>
              </border>
            </x14:dxf>
          </x14:cfRule>
          <xm:sqref>U224</xm:sqref>
        </x14:conditionalFormatting>
        <x14:conditionalFormatting xmlns:xm="http://schemas.microsoft.com/office/excel/2006/main">
          <x14:cfRule type="expression" priority="983" id="{307AA2B4-9460-4D64-B64E-D9E082FDD21D}">
            <xm:f>$S$8='Assessment Details'!$Q$23</xm:f>
            <x14:dxf>
              <font>
                <color theme="0"/>
              </font>
              <fill>
                <patternFill>
                  <bgColor theme="0"/>
                </patternFill>
              </fill>
              <border>
                <vertical/>
                <horizontal/>
              </border>
            </x14:dxf>
          </x14:cfRule>
          <xm:sqref>N55</xm:sqref>
        </x14:conditionalFormatting>
        <x14:conditionalFormatting xmlns:xm="http://schemas.microsoft.com/office/excel/2006/main">
          <x14:cfRule type="expression" priority="982" id="{E054E369-8675-45A9-9063-6772B90EC6F0}">
            <xm:f>$S$8='Assessment Details'!$Q$23</xm:f>
            <x14:dxf>
              <border>
                <left style="thin">
                  <color theme="0"/>
                </left>
                <right style="thin">
                  <color theme="0"/>
                </right>
                <top style="thin">
                  <color theme="0"/>
                </top>
                <bottom style="thin">
                  <color theme="0"/>
                </bottom>
                <vertical/>
                <horizontal/>
              </border>
            </x14:dxf>
          </x14:cfRule>
          <xm:sqref>N55</xm:sqref>
        </x14:conditionalFormatting>
        <x14:conditionalFormatting xmlns:xm="http://schemas.microsoft.com/office/excel/2006/main">
          <x14:cfRule type="expression" priority="979" id="{A1C72D73-A9A2-4173-B170-EA428AE8FCE0}">
            <xm:f>$S$8='Assessment Details'!$Q$23</xm:f>
            <x14:dxf>
              <font>
                <color theme="0"/>
              </font>
              <fill>
                <patternFill>
                  <bgColor theme="0"/>
                </patternFill>
              </fill>
              <border>
                <vertical/>
                <horizontal/>
              </border>
            </x14:dxf>
          </x14:cfRule>
          <xm:sqref>N118</xm:sqref>
        </x14:conditionalFormatting>
        <x14:conditionalFormatting xmlns:xm="http://schemas.microsoft.com/office/excel/2006/main">
          <x14:cfRule type="expression" priority="978" id="{C332B9BF-6CBB-4400-A162-14E1CE03FA30}">
            <xm:f>$S$8='Assessment Details'!$Q$23</xm:f>
            <x14:dxf>
              <border>
                <left style="thin">
                  <color theme="0"/>
                </left>
                <right style="thin">
                  <color theme="0"/>
                </right>
                <top style="thin">
                  <color theme="0"/>
                </top>
                <bottom style="thin">
                  <color theme="0"/>
                </bottom>
                <vertical/>
                <horizontal/>
              </border>
            </x14:dxf>
          </x14:cfRule>
          <xm:sqref>N118</xm:sqref>
        </x14:conditionalFormatting>
        <x14:conditionalFormatting xmlns:xm="http://schemas.microsoft.com/office/excel/2006/main">
          <x14:cfRule type="expression" priority="975" id="{0CA13EFB-5FAE-443D-AAEA-19BF3CBA73DF}">
            <xm:f>$S$8='Assessment Details'!$Q$23</xm:f>
            <x14:dxf>
              <font>
                <color theme="0"/>
              </font>
              <fill>
                <patternFill>
                  <bgColor theme="0"/>
                </patternFill>
              </fill>
              <border>
                <vertical/>
                <horizontal/>
              </border>
            </x14:dxf>
          </x14:cfRule>
          <xm:sqref>N122</xm:sqref>
        </x14:conditionalFormatting>
        <x14:conditionalFormatting xmlns:xm="http://schemas.microsoft.com/office/excel/2006/main">
          <x14:cfRule type="expression" priority="974" id="{0F71D829-C403-4643-9F3F-9308293F6A30}">
            <xm:f>$S$8='Assessment Details'!$Q$23</xm:f>
            <x14:dxf>
              <border>
                <left style="thin">
                  <color theme="0"/>
                </left>
                <right style="thin">
                  <color theme="0"/>
                </right>
                <top style="thin">
                  <color theme="0"/>
                </top>
                <bottom style="thin">
                  <color theme="0"/>
                </bottom>
                <vertical/>
                <horizontal/>
              </border>
            </x14:dxf>
          </x14:cfRule>
          <xm:sqref>N122</xm:sqref>
        </x14:conditionalFormatting>
        <x14:conditionalFormatting xmlns:xm="http://schemas.microsoft.com/office/excel/2006/main">
          <x14:cfRule type="expression" priority="971" id="{9AB21409-CDEA-4079-BDC1-9A141F03A66C}">
            <xm:f>$S$8='Assessment Details'!$Q$23</xm:f>
            <x14:dxf>
              <font>
                <color theme="0"/>
              </font>
              <fill>
                <patternFill>
                  <bgColor theme="0"/>
                </patternFill>
              </fill>
              <border>
                <vertical/>
                <horizontal/>
              </border>
            </x14:dxf>
          </x14:cfRule>
          <xm:sqref>N126</xm:sqref>
        </x14:conditionalFormatting>
        <x14:conditionalFormatting xmlns:xm="http://schemas.microsoft.com/office/excel/2006/main">
          <x14:cfRule type="expression" priority="970" id="{F5414219-E047-4E00-B627-ED7355889037}">
            <xm:f>$S$8='Assessment Details'!$Q$23</xm:f>
            <x14:dxf>
              <border>
                <left style="thin">
                  <color theme="0"/>
                </left>
                <right style="thin">
                  <color theme="0"/>
                </right>
                <top style="thin">
                  <color theme="0"/>
                </top>
                <bottom style="thin">
                  <color theme="0"/>
                </bottom>
                <vertical/>
                <horizontal/>
              </border>
            </x14:dxf>
          </x14:cfRule>
          <xm:sqref>N126</xm:sqref>
        </x14:conditionalFormatting>
        <x14:conditionalFormatting xmlns:xm="http://schemas.microsoft.com/office/excel/2006/main">
          <x14:cfRule type="expression" priority="967" id="{7C843AA6-8F10-48A2-A7B5-BAA3503304A0}">
            <xm:f>$S$8='Assessment Details'!$Q$23</xm:f>
            <x14:dxf>
              <font>
                <color theme="0"/>
              </font>
              <fill>
                <patternFill>
                  <bgColor theme="0"/>
                </patternFill>
              </fill>
              <border>
                <vertical/>
                <horizontal/>
              </border>
            </x14:dxf>
          </x14:cfRule>
          <xm:sqref>N130</xm:sqref>
        </x14:conditionalFormatting>
        <x14:conditionalFormatting xmlns:xm="http://schemas.microsoft.com/office/excel/2006/main">
          <x14:cfRule type="expression" priority="966" id="{1B33CFF4-4F1B-4FD8-9433-725623964A4E}">
            <xm:f>$S$8='Assessment Details'!$Q$23</xm:f>
            <x14:dxf>
              <border>
                <left style="thin">
                  <color theme="0"/>
                </left>
                <right style="thin">
                  <color theme="0"/>
                </right>
                <top style="thin">
                  <color theme="0"/>
                </top>
                <bottom style="thin">
                  <color theme="0"/>
                </bottom>
                <vertical/>
                <horizontal/>
              </border>
            </x14:dxf>
          </x14:cfRule>
          <xm:sqref>N130</xm:sqref>
        </x14:conditionalFormatting>
        <x14:conditionalFormatting xmlns:xm="http://schemas.microsoft.com/office/excel/2006/main">
          <x14:cfRule type="expression" priority="963" id="{B4BB3E1A-7AFC-461C-AA75-FD582653BF7C}">
            <xm:f>$S$8='Assessment Details'!$Q$23</xm:f>
            <x14:dxf>
              <font>
                <color theme="0"/>
              </font>
              <fill>
                <patternFill>
                  <bgColor theme="0"/>
                </patternFill>
              </fill>
              <border>
                <vertical/>
                <horizontal/>
              </border>
            </x14:dxf>
          </x14:cfRule>
          <xm:sqref>N166</xm:sqref>
        </x14:conditionalFormatting>
        <x14:conditionalFormatting xmlns:xm="http://schemas.microsoft.com/office/excel/2006/main">
          <x14:cfRule type="expression" priority="962" id="{0C1307FD-EF1C-4875-A07B-1E2C833AB17E}">
            <xm:f>$S$8='Assessment Details'!$Q$23</xm:f>
            <x14:dxf>
              <border>
                <left style="thin">
                  <color theme="0"/>
                </left>
                <right style="thin">
                  <color theme="0"/>
                </right>
                <top style="thin">
                  <color theme="0"/>
                </top>
                <bottom style="thin">
                  <color theme="0"/>
                </bottom>
                <vertical/>
                <horizontal/>
              </border>
            </x14:dxf>
          </x14:cfRule>
          <xm:sqref>N166</xm:sqref>
        </x14:conditionalFormatting>
        <x14:conditionalFormatting xmlns:xm="http://schemas.microsoft.com/office/excel/2006/main">
          <x14:cfRule type="expression" priority="955" id="{E15BC88D-C946-4E1A-BD75-8CEC8E32FC7D}">
            <xm:f>$S$8='Assessment Details'!$Q$23</xm:f>
            <x14:dxf>
              <font>
                <color theme="0"/>
              </font>
              <fill>
                <patternFill>
                  <bgColor theme="0"/>
                </patternFill>
              </fill>
              <border>
                <vertical/>
                <horizontal/>
              </border>
            </x14:dxf>
          </x14:cfRule>
          <xm:sqref>N173</xm:sqref>
        </x14:conditionalFormatting>
        <x14:conditionalFormatting xmlns:xm="http://schemas.microsoft.com/office/excel/2006/main">
          <x14:cfRule type="expression" priority="954" id="{D6BB9F8E-0A57-42E3-B5E1-7644F2DFCD46}">
            <xm:f>$S$8='Assessment Details'!$Q$23</xm:f>
            <x14:dxf>
              <border>
                <left style="thin">
                  <color theme="0"/>
                </left>
                <right style="thin">
                  <color theme="0"/>
                </right>
                <top style="thin">
                  <color theme="0"/>
                </top>
                <bottom style="thin">
                  <color theme="0"/>
                </bottom>
                <vertical/>
                <horizontal/>
              </border>
            </x14:dxf>
          </x14:cfRule>
          <xm:sqref>N173</xm:sqref>
        </x14:conditionalFormatting>
        <x14:conditionalFormatting xmlns:xm="http://schemas.microsoft.com/office/excel/2006/main">
          <x14:cfRule type="expression" priority="951" id="{810D66C2-8584-47FB-BFB3-19127E2BA28A}">
            <xm:f>$S$8='Assessment Details'!$Q$23</xm:f>
            <x14:dxf>
              <font>
                <color theme="0"/>
              </font>
              <fill>
                <patternFill>
                  <bgColor theme="0"/>
                </patternFill>
              </fill>
              <border>
                <vertical/>
                <horizontal/>
              </border>
            </x14:dxf>
          </x14:cfRule>
          <xm:sqref>N177</xm:sqref>
        </x14:conditionalFormatting>
        <x14:conditionalFormatting xmlns:xm="http://schemas.microsoft.com/office/excel/2006/main">
          <x14:cfRule type="expression" priority="950" id="{B52E7EFA-7B11-4DBB-A261-0F30E0B8B818}">
            <xm:f>$S$8='Assessment Details'!$Q$23</xm:f>
            <x14:dxf>
              <border>
                <left style="thin">
                  <color theme="0"/>
                </left>
                <right style="thin">
                  <color theme="0"/>
                </right>
                <top style="thin">
                  <color theme="0"/>
                </top>
                <bottom style="thin">
                  <color theme="0"/>
                </bottom>
                <vertical/>
                <horizontal/>
              </border>
            </x14:dxf>
          </x14:cfRule>
          <xm:sqref>N177</xm:sqref>
        </x14:conditionalFormatting>
        <x14:conditionalFormatting xmlns:xm="http://schemas.microsoft.com/office/excel/2006/main">
          <x14:cfRule type="expression" priority="947" id="{FCD7DC89-57F5-486F-A2F7-AF9377A04FA9}">
            <xm:f>$S$8='Assessment Details'!$Q$23</xm:f>
            <x14:dxf>
              <font>
                <color theme="0"/>
              </font>
              <fill>
                <patternFill>
                  <bgColor theme="0"/>
                </patternFill>
              </fill>
              <border>
                <vertical/>
                <horizontal/>
              </border>
            </x14:dxf>
          </x14:cfRule>
          <xm:sqref>N183</xm:sqref>
        </x14:conditionalFormatting>
        <x14:conditionalFormatting xmlns:xm="http://schemas.microsoft.com/office/excel/2006/main">
          <x14:cfRule type="expression" priority="946" id="{AB28594F-A99A-4757-BFE1-E7147E2E7D60}">
            <xm:f>$S$8='Assessment Details'!$Q$23</xm:f>
            <x14:dxf>
              <border>
                <left style="thin">
                  <color theme="0"/>
                </left>
                <right style="thin">
                  <color theme="0"/>
                </right>
                <top style="thin">
                  <color theme="0"/>
                </top>
                <bottom style="thin">
                  <color theme="0"/>
                </bottom>
                <vertical/>
                <horizontal/>
              </border>
            </x14:dxf>
          </x14:cfRule>
          <xm:sqref>N183</xm:sqref>
        </x14:conditionalFormatting>
        <x14:conditionalFormatting xmlns:xm="http://schemas.microsoft.com/office/excel/2006/main">
          <x14:cfRule type="expression" priority="943" id="{9F3666A8-497C-45D2-A62F-5030F38C5965}">
            <xm:f>$S$8='Assessment Details'!$Q$23</xm:f>
            <x14:dxf>
              <font>
                <color theme="0"/>
              </font>
              <fill>
                <patternFill>
                  <bgColor theme="0"/>
                </patternFill>
              </fill>
              <border>
                <vertical/>
                <horizontal/>
              </border>
            </x14:dxf>
          </x14:cfRule>
          <xm:sqref>N186</xm:sqref>
        </x14:conditionalFormatting>
        <x14:conditionalFormatting xmlns:xm="http://schemas.microsoft.com/office/excel/2006/main">
          <x14:cfRule type="expression" priority="942" id="{1F45E4FB-CB65-4365-B584-4E2C78889E6D}">
            <xm:f>$S$8='Assessment Details'!$Q$23</xm:f>
            <x14:dxf>
              <border>
                <left style="thin">
                  <color theme="0"/>
                </left>
                <right style="thin">
                  <color theme="0"/>
                </right>
                <top style="thin">
                  <color theme="0"/>
                </top>
                <bottom style="thin">
                  <color theme="0"/>
                </bottom>
                <vertical/>
                <horizontal/>
              </border>
            </x14:dxf>
          </x14:cfRule>
          <xm:sqref>N186</xm:sqref>
        </x14:conditionalFormatting>
        <x14:conditionalFormatting xmlns:xm="http://schemas.microsoft.com/office/excel/2006/main">
          <x14:cfRule type="expression" priority="939" id="{19AB23A2-C4DB-4818-8BF7-717483615861}">
            <xm:f>$Z$8='Assessment Details'!$Q$23</xm:f>
            <x14:dxf>
              <font>
                <color theme="0"/>
              </font>
              <fill>
                <patternFill>
                  <bgColor theme="0"/>
                </patternFill>
              </fill>
            </x14:dxf>
          </x14:cfRule>
          <xm:sqref>U55</xm:sqref>
        </x14:conditionalFormatting>
        <x14:conditionalFormatting xmlns:xm="http://schemas.microsoft.com/office/excel/2006/main">
          <x14:cfRule type="expression" priority="938" id="{3E522E31-31A2-4846-86B9-8C7E51FDE895}">
            <xm:f>$Z$8='Assessment Details'!$Q$23</xm:f>
            <x14:dxf>
              <border>
                <left style="thin">
                  <color theme="0"/>
                </left>
                <right style="thin">
                  <color theme="0"/>
                </right>
                <top style="thin">
                  <color theme="0"/>
                </top>
                <bottom style="thin">
                  <color theme="0"/>
                </bottom>
                <vertical/>
                <horizontal/>
              </border>
            </x14:dxf>
          </x14:cfRule>
          <xm:sqref>U55</xm:sqref>
        </x14:conditionalFormatting>
        <x14:conditionalFormatting xmlns:xm="http://schemas.microsoft.com/office/excel/2006/main">
          <x14:cfRule type="expression" priority="935" id="{E4F5CCB3-7DF2-44C2-997E-04B23439CC35}">
            <xm:f>$Z$8='Assessment Details'!$Q$23</xm:f>
            <x14:dxf>
              <font>
                <color theme="0"/>
              </font>
              <fill>
                <patternFill>
                  <bgColor theme="0"/>
                </patternFill>
              </fill>
            </x14:dxf>
          </x14:cfRule>
          <xm:sqref>U118</xm:sqref>
        </x14:conditionalFormatting>
        <x14:conditionalFormatting xmlns:xm="http://schemas.microsoft.com/office/excel/2006/main">
          <x14:cfRule type="expression" priority="934" id="{8997DEA7-1621-4987-8607-29D63DAFA6D9}">
            <xm:f>$Z$8='Assessment Details'!$Q$23</xm:f>
            <x14:dxf>
              <border>
                <left style="thin">
                  <color theme="0"/>
                </left>
                <right style="thin">
                  <color theme="0"/>
                </right>
                <top style="thin">
                  <color theme="0"/>
                </top>
                <bottom style="thin">
                  <color theme="0"/>
                </bottom>
                <vertical/>
                <horizontal/>
              </border>
            </x14:dxf>
          </x14:cfRule>
          <xm:sqref>U118</xm:sqref>
        </x14:conditionalFormatting>
        <x14:conditionalFormatting xmlns:xm="http://schemas.microsoft.com/office/excel/2006/main">
          <x14:cfRule type="expression" priority="931" id="{845251D0-00A1-4820-B1E0-5B0CE3E55951}">
            <xm:f>$Z$8='Assessment Details'!$Q$23</xm:f>
            <x14:dxf>
              <font>
                <color theme="0"/>
              </font>
              <fill>
                <patternFill>
                  <bgColor theme="0"/>
                </patternFill>
              </fill>
            </x14:dxf>
          </x14:cfRule>
          <xm:sqref>U122</xm:sqref>
        </x14:conditionalFormatting>
        <x14:conditionalFormatting xmlns:xm="http://schemas.microsoft.com/office/excel/2006/main">
          <x14:cfRule type="expression" priority="930" id="{B98DEB26-927B-4877-99F1-2CE26AB46A9B}">
            <xm:f>$Z$8='Assessment Details'!$Q$23</xm:f>
            <x14:dxf>
              <border>
                <left style="thin">
                  <color theme="0"/>
                </left>
                <right style="thin">
                  <color theme="0"/>
                </right>
                <top style="thin">
                  <color theme="0"/>
                </top>
                <bottom style="thin">
                  <color theme="0"/>
                </bottom>
                <vertical/>
                <horizontal/>
              </border>
            </x14:dxf>
          </x14:cfRule>
          <xm:sqref>U122</xm:sqref>
        </x14:conditionalFormatting>
        <x14:conditionalFormatting xmlns:xm="http://schemas.microsoft.com/office/excel/2006/main">
          <x14:cfRule type="expression" priority="927" id="{E89EA77A-3AB6-472C-B478-0F7F36629A8D}">
            <xm:f>$Z$8='Assessment Details'!$Q$23</xm:f>
            <x14:dxf>
              <font>
                <color theme="0"/>
              </font>
              <fill>
                <patternFill>
                  <bgColor theme="0"/>
                </patternFill>
              </fill>
            </x14:dxf>
          </x14:cfRule>
          <xm:sqref>U126</xm:sqref>
        </x14:conditionalFormatting>
        <x14:conditionalFormatting xmlns:xm="http://schemas.microsoft.com/office/excel/2006/main">
          <x14:cfRule type="expression" priority="926" id="{E7D0564C-754D-4F6B-B819-B61EA376CEC6}">
            <xm:f>$Z$8='Assessment Details'!$Q$23</xm:f>
            <x14:dxf>
              <border>
                <left style="thin">
                  <color theme="0"/>
                </left>
                <right style="thin">
                  <color theme="0"/>
                </right>
                <top style="thin">
                  <color theme="0"/>
                </top>
                <bottom style="thin">
                  <color theme="0"/>
                </bottom>
                <vertical/>
                <horizontal/>
              </border>
            </x14:dxf>
          </x14:cfRule>
          <xm:sqref>U126</xm:sqref>
        </x14:conditionalFormatting>
        <x14:conditionalFormatting xmlns:xm="http://schemas.microsoft.com/office/excel/2006/main">
          <x14:cfRule type="expression" priority="923" id="{BA63B402-31D2-466A-8162-759370F1C7A3}">
            <xm:f>$Z$8='Assessment Details'!$Q$23</xm:f>
            <x14:dxf>
              <font>
                <color theme="0"/>
              </font>
              <fill>
                <patternFill>
                  <bgColor theme="0"/>
                </patternFill>
              </fill>
            </x14:dxf>
          </x14:cfRule>
          <xm:sqref>U130</xm:sqref>
        </x14:conditionalFormatting>
        <x14:conditionalFormatting xmlns:xm="http://schemas.microsoft.com/office/excel/2006/main">
          <x14:cfRule type="expression" priority="922" id="{A2D58C98-B1D2-44EB-9399-01C5952BC14C}">
            <xm:f>$Z$8='Assessment Details'!$Q$23</xm:f>
            <x14:dxf>
              <border>
                <left style="thin">
                  <color theme="0"/>
                </left>
                <right style="thin">
                  <color theme="0"/>
                </right>
                <top style="thin">
                  <color theme="0"/>
                </top>
                <bottom style="thin">
                  <color theme="0"/>
                </bottom>
                <vertical/>
                <horizontal/>
              </border>
            </x14:dxf>
          </x14:cfRule>
          <xm:sqref>U130</xm:sqref>
        </x14:conditionalFormatting>
        <x14:conditionalFormatting xmlns:xm="http://schemas.microsoft.com/office/excel/2006/main">
          <x14:cfRule type="expression" priority="919" id="{CF7298BA-77B9-485A-9BE2-478440936C0B}">
            <xm:f>$Z$8='Assessment Details'!$Q$23</xm:f>
            <x14:dxf>
              <font>
                <color theme="0"/>
              </font>
              <fill>
                <patternFill>
                  <bgColor theme="0"/>
                </patternFill>
              </fill>
            </x14:dxf>
          </x14:cfRule>
          <xm:sqref>U166</xm:sqref>
        </x14:conditionalFormatting>
        <x14:conditionalFormatting xmlns:xm="http://schemas.microsoft.com/office/excel/2006/main">
          <x14:cfRule type="expression" priority="918" id="{D7CF9EF4-7D95-437D-807D-E4BEDB3B5C36}">
            <xm:f>$Z$8='Assessment Details'!$Q$23</xm:f>
            <x14:dxf>
              <border>
                <left style="thin">
                  <color theme="0"/>
                </left>
                <right style="thin">
                  <color theme="0"/>
                </right>
                <top style="thin">
                  <color theme="0"/>
                </top>
                <bottom style="thin">
                  <color theme="0"/>
                </bottom>
                <vertical/>
                <horizontal/>
              </border>
            </x14:dxf>
          </x14:cfRule>
          <xm:sqref>U166</xm:sqref>
        </x14:conditionalFormatting>
        <x14:conditionalFormatting xmlns:xm="http://schemas.microsoft.com/office/excel/2006/main">
          <x14:cfRule type="expression" priority="911" id="{9C5F1920-15C5-4D63-BF78-C867EE0D1066}">
            <xm:f>$Z$8='Assessment Details'!$Q$23</xm:f>
            <x14:dxf>
              <font>
                <color theme="0"/>
              </font>
              <fill>
                <patternFill>
                  <bgColor theme="0"/>
                </patternFill>
              </fill>
            </x14:dxf>
          </x14:cfRule>
          <xm:sqref>U173</xm:sqref>
        </x14:conditionalFormatting>
        <x14:conditionalFormatting xmlns:xm="http://schemas.microsoft.com/office/excel/2006/main">
          <x14:cfRule type="expression" priority="910" id="{2BF95581-B9FF-4EB8-ACA1-D5906B79080F}">
            <xm:f>$Z$8='Assessment Details'!$Q$23</xm:f>
            <x14:dxf>
              <border>
                <left style="thin">
                  <color theme="0"/>
                </left>
                <right style="thin">
                  <color theme="0"/>
                </right>
                <top style="thin">
                  <color theme="0"/>
                </top>
                <bottom style="thin">
                  <color theme="0"/>
                </bottom>
                <vertical/>
                <horizontal/>
              </border>
            </x14:dxf>
          </x14:cfRule>
          <xm:sqref>U173</xm:sqref>
        </x14:conditionalFormatting>
        <x14:conditionalFormatting xmlns:xm="http://schemas.microsoft.com/office/excel/2006/main">
          <x14:cfRule type="expression" priority="907" id="{24031FE4-1162-4B7D-898B-DBE9F537F491}">
            <xm:f>$Z$8='Assessment Details'!$Q$23</xm:f>
            <x14:dxf>
              <font>
                <color theme="0"/>
              </font>
              <fill>
                <patternFill>
                  <bgColor theme="0"/>
                </patternFill>
              </fill>
            </x14:dxf>
          </x14:cfRule>
          <xm:sqref>U177</xm:sqref>
        </x14:conditionalFormatting>
        <x14:conditionalFormatting xmlns:xm="http://schemas.microsoft.com/office/excel/2006/main">
          <x14:cfRule type="expression" priority="906" id="{60293951-1398-4DE9-B2F3-E03416288676}">
            <xm:f>$Z$8='Assessment Details'!$Q$23</xm:f>
            <x14:dxf>
              <border>
                <left style="thin">
                  <color theme="0"/>
                </left>
                <right style="thin">
                  <color theme="0"/>
                </right>
                <top style="thin">
                  <color theme="0"/>
                </top>
                <bottom style="thin">
                  <color theme="0"/>
                </bottom>
                <vertical/>
                <horizontal/>
              </border>
            </x14:dxf>
          </x14:cfRule>
          <xm:sqref>U177</xm:sqref>
        </x14:conditionalFormatting>
        <x14:conditionalFormatting xmlns:xm="http://schemas.microsoft.com/office/excel/2006/main">
          <x14:cfRule type="expression" priority="903" id="{9EF85750-6FC4-475C-8C83-DFB11D4C3DA0}">
            <xm:f>$Z$8='Assessment Details'!$Q$23</xm:f>
            <x14:dxf>
              <font>
                <color theme="0"/>
              </font>
              <fill>
                <patternFill>
                  <bgColor theme="0"/>
                </patternFill>
              </fill>
            </x14:dxf>
          </x14:cfRule>
          <xm:sqref>U183</xm:sqref>
        </x14:conditionalFormatting>
        <x14:conditionalFormatting xmlns:xm="http://schemas.microsoft.com/office/excel/2006/main">
          <x14:cfRule type="expression" priority="902" id="{6010812E-E8F6-4C2D-B2E1-5E66992EFB0A}">
            <xm:f>$Z$8='Assessment Details'!$Q$23</xm:f>
            <x14:dxf>
              <border>
                <left style="thin">
                  <color theme="0"/>
                </left>
                <right style="thin">
                  <color theme="0"/>
                </right>
                <top style="thin">
                  <color theme="0"/>
                </top>
                <bottom style="thin">
                  <color theme="0"/>
                </bottom>
                <vertical/>
                <horizontal/>
              </border>
            </x14:dxf>
          </x14:cfRule>
          <xm:sqref>U183</xm:sqref>
        </x14:conditionalFormatting>
        <x14:conditionalFormatting xmlns:xm="http://schemas.microsoft.com/office/excel/2006/main">
          <x14:cfRule type="expression" priority="899" id="{0D72CF25-68DE-4A74-8636-9DAF8D6D6513}">
            <xm:f>$Z$8='Assessment Details'!$Q$23</xm:f>
            <x14:dxf>
              <font>
                <color theme="0"/>
              </font>
              <fill>
                <patternFill>
                  <bgColor theme="0"/>
                </patternFill>
              </fill>
            </x14:dxf>
          </x14:cfRule>
          <xm:sqref>U186</xm:sqref>
        </x14:conditionalFormatting>
        <x14:conditionalFormatting xmlns:xm="http://schemas.microsoft.com/office/excel/2006/main">
          <x14:cfRule type="expression" priority="898" id="{0ADC0875-4C4C-4DE0-AB5F-F67641AFDAA8}">
            <xm:f>$Z$8='Assessment Details'!$Q$23</xm:f>
            <x14:dxf>
              <border>
                <left style="thin">
                  <color theme="0"/>
                </left>
                <right style="thin">
                  <color theme="0"/>
                </right>
                <top style="thin">
                  <color theme="0"/>
                </top>
                <bottom style="thin">
                  <color theme="0"/>
                </bottom>
                <vertical/>
                <horizontal/>
              </border>
            </x14:dxf>
          </x14:cfRule>
          <xm:sqref>U186</xm:sqref>
        </x14:conditionalFormatting>
        <x14:conditionalFormatting xmlns:xm="http://schemas.microsoft.com/office/excel/2006/main">
          <x14:cfRule type="expression" priority="884" id="{B2517199-400D-4E79-BB0C-8BD036B7C495}">
            <xm:f>$S$8='Assessment Details'!$Q$23</xm:f>
            <x14:dxf>
              <font>
                <color theme="0"/>
              </font>
              <fill>
                <patternFill>
                  <bgColor theme="0"/>
                </patternFill>
              </fill>
              <border>
                <vertical/>
                <horizontal/>
              </border>
            </x14:dxf>
          </x14:cfRule>
          <xm:sqref>N134</xm:sqref>
        </x14:conditionalFormatting>
        <x14:conditionalFormatting xmlns:xm="http://schemas.microsoft.com/office/excel/2006/main">
          <x14:cfRule type="expression" priority="883" id="{671B9F9F-87A1-4E8F-887D-B1C37FC1C2D5}">
            <xm:f>$S$8='Assessment Details'!$Q$23</xm:f>
            <x14:dxf>
              <border>
                <left style="thin">
                  <color theme="0"/>
                </left>
                <right style="thin">
                  <color theme="0"/>
                </right>
                <top style="thin">
                  <color theme="0"/>
                </top>
                <bottom style="thin">
                  <color theme="0"/>
                </bottom>
                <vertical/>
                <horizontal/>
              </border>
            </x14:dxf>
          </x14:cfRule>
          <xm:sqref>N134</xm:sqref>
        </x14:conditionalFormatting>
        <x14:conditionalFormatting xmlns:xm="http://schemas.microsoft.com/office/excel/2006/main">
          <x14:cfRule type="expression" priority="882" id="{9004D2A5-FAC0-4FD6-A1A8-2D89AC9273B1}">
            <xm:f>$Z$8='Assessment Details'!$Q$23</xm:f>
            <x14:dxf>
              <font>
                <color theme="0"/>
              </font>
              <fill>
                <patternFill>
                  <bgColor theme="0"/>
                </patternFill>
              </fill>
            </x14:dxf>
          </x14:cfRule>
          <xm:sqref>X134:Y134</xm:sqref>
        </x14:conditionalFormatting>
        <x14:conditionalFormatting xmlns:xm="http://schemas.microsoft.com/office/excel/2006/main">
          <x14:cfRule type="expression" priority="881" id="{EEC41F94-236D-4872-A8F1-79FE52E4D557}">
            <xm:f>$Z$8='Assessment Details'!$Q$23</xm:f>
            <x14:dxf>
              <border>
                <left style="thin">
                  <color theme="0"/>
                </left>
                <right style="thin">
                  <color theme="0"/>
                </right>
                <top style="thin">
                  <color theme="0"/>
                </top>
                <bottom style="thin">
                  <color theme="0"/>
                </bottom>
                <vertical/>
                <horizontal/>
              </border>
            </x14:dxf>
          </x14:cfRule>
          <xm:sqref>X134:Y134</xm:sqref>
        </x14:conditionalFormatting>
        <x14:conditionalFormatting xmlns:xm="http://schemas.microsoft.com/office/excel/2006/main">
          <x14:cfRule type="expression" priority="867" id="{78D933A3-BF0F-43E5-BA80-71B8ABB8CBE1}">
            <xm:f>$Z$8='Assessment Details'!$Q$23</xm:f>
            <x14:dxf>
              <font>
                <color theme="0"/>
              </font>
              <fill>
                <patternFill>
                  <bgColor theme="0"/>
                </patternFill>
              </fill>
            </x14:dxf>
          </x14:cfRule>
          <xm:sqref>U134</xm:sqref>
        </x14:conditionalFormatting>
        <x14:conditionalFormatting xmlns:xm="http://schemas.microsoft.com/office/excel/2006/main">
          <x14:cfRule type="expression" priority="866" id="{AB46B7D5-2DE9-49A4-8D5C-3ABCC6D206FD}">
            <xm:f>$Z$8='Assessment Details'!$Q$23</xm:f>
            <x14:dxf>
              <border>
                <left style="thin">
                  <color theme="0"/>
                </left>
                <right style="thin">
                  <color theme="0"/>
                </right>
                <top style="thin">
                  <color theme="0"/>
                </top>
                <bottom style="thin">
                  <color theme="0"/>
                </bottom>
                <vertical/>
                <horizontal/>
              </border>
            </x14:dxf>
          </x14:cfRule>
          <xm:sqref>U134</xm:sqref>
        </x14:conditionalFormatting>
        <x14:conditionalFormatting xmlns:xm="http://schemas.microsoft.com/office/excel/2006/main">
          <x14:cfRule type="expression" priority="847" id="{385BE2E3-500F-401D-920E-E2C9CC87D169}">
            <xm:f>$S$8='Assessment Details'!$Q$23</xm:f>
            <x14:dxf>
              <font>
                <color theme="0"/>
              </font>
              <fill>
                <patternFill>
                  <bgColor theme="0"/>
                </patternFill>
              </fill>
              <border>
                <vertical/>
                <horizontal/>
              </border>
            </x14:dxf>
          </x14:cfRule>
          <xm:sqref>N196</xm:sqref>
        </x14:conditionalFormatting>
        <x14:conditionalFormatting xmlns:xm="http://schemas.microsoft.com/office/excel/2006/main">
          <x14:cfRule type="expression" priority="846" id="{636614CB-6B0E-4EB8-B6D3-15814EEAE26C}">
            <xm:f>$S$8='Assessment Details'!$Q$23</xm:f>
            <x14:dxf>
              <border>
                <left style="thin">
                  <color theme="0"/>
                </left>
                <right style="thin">
                  <color theme="0"/>
                </right>
                <top style="thin">
                  <color theme="0"/>
                </top>
                <bottom style="thin">
                  <color theme="0"/>
                </bottom>
                <vertical/>
                <horizontal/>
              </border>
            </x14:dxf>
          </x14:cfRule>
          <xm:sqref>N196</xm:sqref>
        </x14:conditionalFormatting>
        <x14:conditionalFormatting xmlns:xm="http://schemas.microsoft.com/office/excel/2006/main">
          <x14:cfRule type="expression" priority="845" id="{70D6E1F0-AB43-49B6-A6D2-18A2BF9BD4BF}">
            <xm:f>$Z$8='Assessment Details'!$Q$23</xm:f>
            <x14:dxf>
              <font>
                <color theme="0"/>
              </font>
              <fill>
                <patternFill>
                  <bgColor theme="0"/>
                </patternFill>
              </fill>
            </x14:dxf>
          </x14:cfRule>
          <xm:sqref>X196:Y196</xm:sqref>
        </x14:conditionalFormatting>
        <x14:conditionalFormatting xmlns:xm="http://schemas.microsoft.com/office/excel/2006/main">
          <x14:cfRule type="expression" priority="844" id="{C3ABDC6B-708E-47E9-BD59-2E270BA64C81}">
            <xm:f>$Z$8='Assessment Details'!$Q$23</xm:f>
            <x14:dxf>
              <border>
                <left style="thin">
                  <color theme="0"/>
                </left>
                <right style="thin">
                  <color theme="0"/>
                </right>
                <top style="thin">
                  <color theme="0"/>
                </top>
                <bottom style="thin">
                  <color theme="0"/>
                </bottom>
                <vertical/>
                <horizontal/>
              </border>
            </x14:dxf>
          </x14:cfRule>
          <xm:sqref>X196:Y196</xm:sqref>
        </x14:conditionalFormatting>
        <x14:conditionalFormatting xmlns:xm="http://schemas.microsoft.com/office/excel/2006/main">
          <x14:cfRule type="expression" priority="843" id="{36FE6BB4-476A-426A-BD77-348A14FCB506}">
            <xm:f>$Z$8='Assessment Details'!$Q$23</xm:f>
            <x14:dxf>
              <font>
                <color theme="0"/>
              </font>
              <fill>
                <patternFill>
                  <bgColor theme="0"/>
                </patternFill>
              </fill>
            </x14:dxf>
          </x14:cfRule>
          <xm:sqref>U196</xm:sqref>
        </x14:conditionalFormatting>
        <x14:conditionalFormatting xmlns:xm="http://schemas.microsoft.com/office/excel/2006/main">
          <x14:cfRule type="expression" priority="842" id="{163E1F5B-646D-4C32-8017-FA50D55ADAF7}">
            <xm:f>$Z$8='Assessment Details'!$Q$23</xm:f>
            <x14:dxf>
              <border>
                <left style="thin">
                  <color theme="0"/>
                </left>
                <right style="thin">
                  <color theme="0"/>
                </right>
                <top style="thin">
                  <color theme="0"/>
                </top>
                <bottom style="thin">
                  <color theme="0"/>
                </bottom>
                <vertical/>
                <horizontal/>
              </border>
            </x14:dxf>
          </x14:cfRule>
          <xm:sqref>U196</xm:sqref>
        </x14:conditionalFormatting>
        <x14:conditionalFormatting xmlns:xm="http://schemas.microsoft.com/office/excel/2006/main">
          <x14:cfRule type="expression" priority="836" id="{A9A358BE-AE04-490A-B2F6-E1AF02BEC657}">
            <xm:f>$S$8='Assessment Details'!$Q$23</xm:f>
            <x14:dxf>
              <font>
                <color theme="0"/>
              </font>
              <fill>
                <patternFill>
                  <bgColor theme="0"/>
                </patternFill>
              </fill>
              <border>
                <vertical/>
                <horizontal/>
              </border>
            </x14:dxf>
          </x14:cfRule>
          <xm:sqref>Q195:R195</xm:sqref>
        </x14:conditionalFormatting>
        <x14:conditionalFormatting xmlns:xm="http://schemas.microsoft.com/office/excel/2006/main">
          <x14:cfRule type="expression" priority="835" id="{CAC97284-68A8-41C8-AD4C-2463D87E9601}">
            <xm:f>$S$8='Assessment Details'!$Q$23</xm:f>
            <x14:dxf>
              <border>
                <left style="thin">
                  <color theme="0"/>
                </left>
                <right style="thin">
                  <color theme="0"/>
                </right>
                <top style="thin">
                  <color theme="0"/>
                </top>
                <bottom style="thin">
                  <color theme="0"/>
                </bottom>
                <vertical/>
                <horizontal/>
              </border>
            </x14:dxf>
          </x14:cfRule>
          <xm:sqref>Q195:R195</xm:sqref>
        </x14:conditionalFormatting>
        <x14:conditionalFormatting xmlns:xm="http://schemas.microsoft.com/office/excel/2006/main">
          <x14:cfRule type="expression" priority="822" id="{E80368FD-C2FC-46DB-B8AC-3633FFC17C20}">
            <xm:f>$S$8='Assessment Details'!$Q$23</xm:f>
            <x14:dxf>
              <font>
                <color theme="0"/>
              </font>
              <fill>
                <patternFill>
                  <bgColor theme="0"/>
                </patternFill>
              </fill>
              <border>
                <vertical/>
                <horizontal/>
              </border>
            </x14:dxf>
          </x14:cfRule>
          <xm:sqref>N195</xm:sqref>
        </x14:conditionalFormatting>
        <x14:conditionalFormatting xmlns:xm="http://schemas.microsoft.com/office/excel/2006/main">
          <x14:cfRule type="expression" priority="821" id="{BD2F9586-8A9C-4136-BEF7-6BE1F2EAB39B}">
            <xm:f>$S$8='Assessment Details'!$Q$23</xm:f>
            <x14:dxf>
              <border>
                <left style="thin">
                  <color theme="0"/>
                </left>
                <right style="thin">
                  <color theme="0"/>
                </right>
                <top style="thin">
                  <color theme="0"/>
                </top>
                <bottom style="thin">
                  <color theme="0"/>
                </bottom>
                <vertical/>
                <horizontal/>
              </border>
            </x14:dxf>
          </x14:cfRule>
          <xm:sqref>N195</xm:sqref>
        </x14:conditionalFormatting>
        <x14:conditionalFormatting xmlns:xm="http://schemas.microsoft.com/office/excel/2006/main">
          <x14:cfRule type="expression" priority="818" id="{878A2DCC-515D-4CD5-8B70-E72BA35F09A6}">
            <xm:f>$Z$8='Assessment Details'!$Q$23</xm:f>
            <x14:dxf>
              <font>
                <color theme="0"/>
              </font>
              <fill>
                <patternFill>
                  <bgColor theme="0"/>
                </patternFill>
              </fill>
            </x14:dxf>
          </x14:cfRule>
          <xm:sqref>U195</xm:sqref>
        </x14:conditionalFormatting>
        <x14:conditionalFormatting xmlns:xm="http://schemas.microsoft.com/office/excel/2006/main">
          <x14:cfRule type="expression" priority="817" id="{6603C269-79BC-4AF0-A48B-5E9E9B275056}">
            <xm:f>$Z$8='Assessment Details'!$Q$23</xm:f>
            <x14:dxf>
              <border>
                <left style="thin">
                  <color theme="0"/>
                </left>
                <right style="thin">
                  <color theme="0"/>
                </right>
                <top style="thin">
                  <color theme="0"/>
                </top>
                <bottom style="thin">
                  <color theme="0"/>
                </bottom>
                <vertical/>
                <horizontal/>
              </border>
            </x14:dxf>
          </x14:cfRule>
          <xm:sqref>U195</xm:sqref>
        </x14:conditionalFormatting>
        <x14:conditionalFormatting xmlns:xm="http://schemas.microsoft.com/office/excel/2006/main">
          <x14:cfRule type="expression" priority="798" id="{BDE5FF22-764F-4950-97D5-79695EA58120}">
            <xm:f>$S$8='Assessment Details'!$Q$23</xm:f>
            <x14:dxf>
              <font>
                <color theme="0"/>
              </font>
              <fill>
                <patternFill>
                  <bgColor theme="0"/>
                </patternFill>
              </fill>
              <border>
                <vertical/>
                <horizontal/>
              </border>
            </x14:dxf>
          </x14:cfRule>
          <xm:sqref>N25</xm:sqref>
        </x14:conditionalFormatting>
        <x14:conditionalFormatting xmlns:xm="http://schemas.microsoft.com/office/excel/2006/main">
          <x14:cfRule type="expression" priority="797" id="{2979B6A3-9751-4B14-A22B-92822002F447}">
            <xm:f>$S$8='Assessment Details'!$Q$23</xm:f>
            <x14:dxf>
              <border>
                <left style="thin">
                  <color theme="0"/>
                </left>
                <right style="thin">
                  <color theme="0"/>
                </right>
                <top style="thin">
                  <color theme="0"/>
                </top>
                <bottom style="thin">
                  <color theme="0"/>
                </bottom>
                <vertical/>
                <horizontal/>
              </border>
            </x14:dxf>
          </x14:cfRule>
          <xm:sqref>N25</xm:sqref>
        </x14:conditionalFormatting>
        <x14:conditionalFormatting xmlns:xm="http://schemas.microsoft.com/office/excel/2006/main">
          <x14:cfRule type="expression" priority="796" id="{CEEB2D4F-6911-4CB4-B1F4-C0EC8691A8CA}">
            <xm:f>$Z$8='Assessment Details'!$Q$23</xm:f>
            <x14:dxf>
              <font>
                <color theme="0"/>
              </font>
              <fill>
                <patternFill>
                  <bgColor theme="0"/>
                </patternFill>
              </fill>
            </x14:dxf>
          </x14:cfRule>
          <xm:sqref>X25:Y25</xm:sqref>
        </x14:conditionalFormatting>
        <x14:conditionalFormatting xmlns:xm="http://schemas.microsoft.com/office/excel/2006/main">
          <x14:cfRule type="expression" priority="795" id="{16AFEB61-6668-40A8-8FEC-02DF69DC0172}">
            <xm:f>$Z$8='Assessment Details'!$Q$23</xm:f>
            <x14:dxf>
              <border>
                <left style="thin">
                  <color theme="0"/>
                </left>
                <right style="thin">
                  <color theme="0"/>
                </right>
                <top style="thin">
                  <color theme="0"/>
                </top>
                <bottom style="thin">
                  <color theme="0"/>
                </bottom>
                <vertical/>
                <horizontal/>
              </border>
            </x14:dxf>
          </x14:cfRule>
          <xm:sqref>X25:Y25</xm:sqref>
        </x14:conditionalFormatting>
        <x14:conditionalFormatting xmlns:xm="http://schemas.microsoft.com/office/excel/2006/main">
          <x14:cfRule type="expression" priority="789" id="{B9198C9F-E0E7-4C7D-8A1F-625074EF54F5}">
            <xm:f>$Z$8='Assessment Details'!$Q$23</xm:f>
            <x14:dxf>
              <font>
                <color theme="0"/>
              </font>
              <fill>
                <patternFill>
                  <bgColor theme="0"/>
                </patternFill>
              </fill>
            </x14:dxf>
          </x14:cfRule>
          <xm:sqref>U25</xm:sqref>
        </x14:conditionalFormatting>
        <x14:conditionalFormatting xmlns:xm="http://schemas.microsoft.com/office/excel/2006/main">
          <x14:cfRule type="expression" priority="788" id="{BFFC2934-A5C3-473F-8B38-72DEA75E0879}">
            <xm:f>$Z$8='Assessment Details'!$Q$23</xm:f>
            <x14:dxf>
              <border>
                <left style="thin">
                  <color theme="0"/>
                </left>
                <right style="thin">
                  <color theme="0"/>
                </right>
                <top style="thin">
                  <color theme="0"/>
                </top>
                <bottom style="thin">
                  <color theme="0"/>
                </bottom>
                <vertical/>
                <horizontal/>
              </border>
            </x14:dxf>
          </x14:cfRule>
          <xm:sqref>U25</xm:sqref>
        </x14:conditionalFormatting>
        <x14:conditionalFormatting xmlns:xm="http://schemas.microsoft.com/office/excel/2006/main">
          <x14:cfRule type="expression" priority="769" id="{056CBADF-F4D1-40B8-A066-F2B999D51E32}">
            <xm:f>$S$8='Assessment Details'!$Q$23</xm:f>
            <x14:dxf>
              <font>
                <color theme="0"/>
              </font>
              <fill>
                <patternFill>
                  <bgColor theme="0"/>
                </patternFill>
              </fill>
              <border>
                <vertical/>
                <horizontal/>
              </border>
            </x14:dxf>
          </x14:cfRule>
          <xm:sqref>N26</xm:sqref>
        </x14:conditionalFormatting>
        <x14:conditionalFormatting xmlns:xm="http://schemas.microsoft.com/office/excel/2006/main">
          <x14:cfRule type="expression" priority="768" id="{D8E3BCA5-64FC-4B4A-85B4-098B22AC9517}">
            <xm:f>$S$8='Assessment Details'!$Q$23</xm:f>
            <x14:dxf>
              <border>
                <left style="thin">
                  <color theme="0"/>
                </left>
                <right style="thin">
                  <color theme="0"/>
                </right>
                <top style="thin">
                  <color theme="0"/>
                </top>
                <bottom style="thin">
                  <color theme="0"/>
                </bottom>
                <vertical/>
                <horizontal/>
              </border>
            </x14:dxf>
          </x14:cfRule>
          <xm:sqref>N26</xm:sqref>
        </x14:conditionalFormatting>
        <x14:conditionalFormatting xmlns:xm="http://schemas.microsoft.com/office/excel/2006/main">
          <x14:cfRule type="expression" priority="767" id="{4CF4F4F0-C7CE-4D35-BFC6-31BEBFEB74CC}">
            <xm:f>$Z$8='Assessment Details'!$Q$23</xm:f>
            <x14:dxf>
              <font>
                <color theme="0"/>
              </font>
              <fill>
                <patternFill>
                  <bgColor theme="0"/>
                </patternFill>
              </fill>
            </x14:dxf>
          </x14:cfRule>
          <xm:sqref>X26:Y26</xm:sqref>
        </x14:conditionalFormatting>
        <x14:conditionalFormatting xmlns:xm="http://schemas.microsoft.com/office/excel/2006/main">
          <x14:cfRule type="expression" priority="766" id="{44CB9297-D4F2-4941-8CF7-161148476ADE}">
            <xm:f>$Z$8='Assessment Details'!$Q$23</xm:f>
            <x14:dxf>
              <border>
                <left style="thin">
                  <color theme="0"/>
                </left>
                <right style="thin">
                  <color theme="0"/>
                </right>
                <top style="thin">
                  <color theme="0"/>
                </top>
                <bottom style="thin">
                  <color theme="0"/>
                </bottom>
                <vertical/>
                <horizontal/>
              </border>
            </x14:dxf>
          </x14:cfRule>
          <xm:sqref>X26:Y26</xm:sqref>
        </x14:conditionalFormatting>
        <x14:conditionalFormatting xmlns:xm="http://schemas.microsoft.com/office/excel/2006/main">
          <x14:cfRule type="expression" priority="760" id="{A1124C2E-2CE1-4778-BC0F-B3175E84C11D}">
            <xm:f>$Z$8='Assessment Details'!$Q$23</xm:f>
            <x14:dxf>
              <font>
                <color theme="0"/>
              </font>
              <fill>
                <patternFill>
                  <bgColor theme="0"/>
                </patternFill>
              </fill>
            </x14:dxf>
          </x14:cfRule>
          <xm:sqref>U26</xm:sqref>
        </x14:conditionalFormatting>
        <x14:conditionalFormatting xmlns:xm="http://schemas.microsoft.com/office/excel/2006/main">
          <x14:cfRule type="expression" priority="759" id="{DFFD3404-113B-426E-8669-4775A0CD70DD}">
            <xm:f>$Z$8='Assessment Details'!$Q$23</xm:f>
            <x14:dxf>
              <border>
                <left style="thin">
                  <color theme="0"/>
                </left>
                <right style="thin">
                  <color theme="0"/>
                </right>
                <top style="thin">
                  <color theme="0"/>
                </top>
                <bottom style="thin">
                  <color theme="0"/>
                </bottom>
                <vertical/>
                <horizontal/>
              </border>
            </x14:dxf>
          </x14:cfRule>
          <xm:sqref>U26</xm:sqref>
        </x14:conditionalFormatting>
        <x14:conditionalFormatting xmlns:xm="http://schemas.microsoft.com/office/excel/2006/main">
          <x14:cfRule type="expression" priority="741" id="{5A63F7A5-EDFA-41B7-9A2B-2E3B5AC6501F}">
            <xm:f>$S$8='Assessment Details'!$Q$23</xm:f>
            <x14:dxf>
              <font>
                <color theme="0"/>
              </font>
              <fill>
                <patternFill>
                  <bgColor theme="0"/>
                </patternFill>
              </fill>
              <border>
                <vertical/>
                <horizontal/>
              </border>
            </x14:dxf>
          </x14:cfRule>
          <xm:sqref>N84</xm:sqref>
        </x14:conditionalFormatting>
        <x14:conditionalFormatting xmlns:xm="http://schemas.microsoft.com/office/excel/2006/main">
          <x14:cfRule type="expression" priority="740" id="{A2822926-0CDC-469D-810E-34D85549DB66}">
            <xm:f>$S$8='Assessment Details'!$Q$23</xm:f>
            <x14:dxf>
              <border>
                <left style="thin">
                  <color theme="0"/>
                </left>
                <right style="thin">
                  <color theme="0"/>
                </right>
                <top style="thin">
                  <color theme="0"/>
                </top>
                <bottom style="thin">
                  <color theme="0"/>
                </bottom>
                <vertical/>
                <horizontal/>
              </border>
            </x14:dxf>
          </x14:cfRule>
          <xm:sqref>N84</xm:sqref>
        </x14:conditionalFormatting>
        <x14:conditionalFormatting xmlns:xm="http://schemas.microsoft.com/office/excel/2006/main">
          <x14:cfRule type="expression" priority="739" id="{609FE846-1353-46BF-8A8E-52297A2A302F}">
            <xm:f>$Z$8='Assessment Details'!$Q$23</xm:f>
            <x14:dxf>
              <font>
                <color theme="0"/>
              </font>
              <fill>
                <patternFill>
                  <bgColor theme="0"/>
                </patternFill>
              </fill>
            </x14:dxf>
          </x14:cfRule>
          <xm:sqref>X84:Y84</xm:sqref>
        </x14:conditionalFormatting>
        <x14:conditionalFormatting xmlns:xm="http://schemas.microsoft.com/office/excel/2006/main">
          <x14:cfRule type="expression" priority="738" id="{813441FB-141C-4C98-AD40-F988DC41CADD}">
            <xm:f>$Z$8='Assessment Details'!$Q$23</xm:f>
            <x14:dxf>
              <border>
                <left style="thin">
                  <color theme="0"/>
                </left>
                <right style="thin">
                  <color theme="0"/>
                </right>
                <top style="thin">
                  <color theme="0"/>
                </top>
                <bottom style="thin">
                  <color theme="0"/>
                </bottom>
                <vertical/>
                <horizontal/>
              </border>
            </x14:dxf>
          </x14:cfRule>
          <xm:sqref>X84:Y84</xm:sqref>
        </x14:conditionalFormatting>
        <x14:conditionalFormatting xmlns:xm="http://schemas.microsoft.com/office/excel/2006/main">
          <x14:cfRule type="expression" priority="724" id="{7D01B325-A133-4A43-8630-C038C0769CE1}">
            <xm:f>$Z$8='Assessment Details'!$Q$23</xm:f>
            <x14:dxf>
              <font>
                <color theme="0"/>
              </font>
              <fill>
                <patternFill>
                  <bgColor theme="0"/>
                </patternFill>
              </fill>
            </x14:dxf>
          </x14:cfRule>
          <xm:sqref>U84</xm:sqref>
        </x14:conditionalFormatting>
        <x14:conditionalFormatting xmlns:xm="http://schemas.microsoft.com/office/excel/2006/main">
          <x14:cfRule type="expression" priority="723" id="{8C95A82D-2DB8-47B8-A590-797014BCF744}">
            <xm:f>$Z$8='Assessment Details'!$Q$23</xm:f>
            <x14:dxf>
              <border>
                <left style="thin">
                  <color theme="0"/>
                </left>
                <right style="thin">
                  <color theme="0"/>
                </right>
                <top style="thin">
                  <color theme="0"/>
                </top>
                <bottom style="thin">
                  <color theme="0"/>
                </bottom>
                <vertical/>
                <horizontal/>
              </border>
            </x14:dxf>
          </x14:cfRule>
          <xm:sqref>U84</xm:sqref>
        </x14:conditionalFormatting>
        <x14:conditionalFormatting xmlns:xm="http://schemas.microsoft.com/office/excel/2006/main">
          <x14:cfRule type="expression" priority="706" id="{69C310A9-BDC7-4B47-82CD-FC12E23ACA02}">
            <xm:f>$S$8='Assessment Details'!$Q$23</xm:f>
            <x14:dxf>
              <font>
                <color theme="0"/>
              </font>
              <fill>
                <patternFill>
                  <bgColor theme="0"/>
                </patternFill>
              </fill>
              <border>
                <vertical/>
                <horizontal/>
              </border>
            </x14:dxf>
          </x14:cfRule>
          <xm:sqref>Q98:R98</xm:sqref>
        </x14:conditionalFormatting>
        <x14:conditionalFormatting xmlns:xm="http://schemas.microsoft.com/office/excel/2006/main">
          <x14:cfRule type="expression" priority="705" id="{8866C9EC-AA27-438F-8DEF-B357553BAA70}">
            <xm:f>$S$8='Assessment Details'!$Q$23</xm:f>
            <x14:dxf>
              <border>
                <left style="thin">
                  <color theme="0"/>
                </left>
                <right style="thin">
                  <color theme="0"/>
                </right>
                <top style="thin">
                  <color theme="0"/>
                </top>
                <bottom style="thin">
                  <color theme="0"/>
                </bottom>
                <vertical/>
                <horizontal/>
              </border>
            </x14:dxf>
          </x14:cfRule>
          <xm:sqref>Q98:R98</xm:sqref>
        </x14:conditionalFormatting>
        <x14:conditionalFormatting xmlns:xm="http://schemas.microsoft.com/office/excel/2006/main">
          <x14:cfRule type="expression" priority="704" id="{369EE6F7-B847-4C15-9E39-4DF832F655E4}">
            <xm:f>$Z$8='Assessment Details'!$Q$23</xm:f>
            <x14:dxf>
              <font>
                <color theme="0"/>
              </font>
              <fill>
                <patternFill>
                  <bgColor theme="0"/>
                </patternFill>
              </fill>
            </x14:dxf>
          </x14:cfRule>
          <xm:sqref>X98:Y98</xm:sqref>
        </x14:conditionalFormatting>
        <x14:conditionalFormatting xmlns:xm="http://schemas.microsoft.com/office/excel/2006/main">
          <x14:cfRule type="expression" priority="703" id="{DA9FEB1E-44CE-403C-8B7D-2BDCE1D252BF}">
            <xm:f>$Z$8='Assessment Details'!$Q$23</xm:f>
            <x14:dxf>
              <border>
                <left style="thin">
                  <color theme="0"/>
                </left>
                <right style="thin">
                  <color theme="0"/>
                </right>
                <top style="thin">
                  <color theme="0"/>
                </top>
                <bottom style="thin">
                  <color theme="0"/>
                </bottom>
                <vertical/>
                <horizontal/>
              </border>
            </x14:dxf>
          </x14:cfRule>
          <xm:sqref>X98:Y98</xm:sqref>
        </x14:conditionalFormatting>
        <x14:conditionalFormatting xmlns:xm="http://schemas.microsoft.com/office/excel/2006/main">
          <x14:cfRule type="expression" priority="689" id="{2ACB8806-BB00-4EEF-9AEF-4CAF9A1EE119}">
            <xm:f>$S$8='Assessment Details'!$Q$23</xm:f>
            <x14:dxf>
              <font>
                <color theme="0"/>
              </font>
              <fill>
                <patternFill>
                  <bgColor theme="0"/>
                </patternFill>
              </fill>
              <border>
                <vertical/>
                <horizontal/>
              </border>
            </x14:dxf>
          </x14:cfRule>
          <xm:sqref>N98</xm:sqref>
        </x14:conditionalFormatting>
        <x14:conditionalFormatting xmlns:xm="http://schemas.microsoft.com/office/excel/2006/main">
          <x14:cfRule type="expression" priority="688" id="{F31C36FB-66C8-460F-8266-75E37A5CC967}">
            <xm:f>$S$8='Assessment Details'!$Q$23</xm:f>
            <x14:dxf>
              <border>
                <left style="thin">
                  <color theme="0"/>
                </left>
                <right style="thin">
                  <color theme="0"/>
                </right>
                <top style="thin">
                  <color theme="0"/>
                </top>
                <bottom style="thin">
                  <color theme="0"/>
                </bottom>
                <vertical/>
                <horizontal/>
              </border>
            </x14:dxf>
          </x14:cfRule>
          <xm:sqref>N98</xm:sqref>
        </x14:conditionalFormatting>
        <x14:conditionalFormatting xmlns:xm="http://schemas.microsoft.com/office/excel/2006/main">
          <x14:cfRule type="expression" priority="685" id="{3D434EE4-339E-4213-A321-7B3E76D92597}">
            <xm:f>$Z$8='Assessment Details'!$Q$23</xm:f>
            <x14:dxf>
              <font>
                <color theme="0"/>
              </font>
              <fill>
                <patternFill>
                  <bgColor theme="0"/>
                </patternFill>
              </fill>
            </x14:dxf>
          </x14:cfRule>
          <xm:sqref>U98</xm:sqref>
        </x14:conditionalFormatting>
        <x14:conditionalFormatting xmlns:xm="http://schemas.microsoft.com/office/excel/2006/main">
          <x14:cfRule type="expression" priority="684" id="{983395C1-0379-4A53-B586-C7BB4E5634B8}">
            <xm:f>$Z$8='Assessment Details'!$Q$23</xm:f>
            <x14:dxf>
              <border>
                <left style="thin">
                  <color theme="0"/>
                </left>
                <right style="thin">
                  <color theme="0"/>
                </right>
                <top style="thin">
                  <color theme="0"/>
                </top>
                <bottom style="thin">
                  <color theme="0"/>
                </bottom>
                <vertical/>
                <horizontal/>
              </border>
            </x14:dxf>
          </x14:cfRule>
          <xm:sqref>U98</xm:sqref>
        </x14:conditionalFormatting>
        <x14:conditionalFormatting xmlns:xm="http://schemas.microsoft.com/office/excel/2006/main">
          <x14:cfRule type="expression" priority="674" id="{A8780FD0-5326-4D6A-AA5A-EF2B796DECD5}">
            <xm:f>$Z$8='Assessment Details'!$Q$23</xm:f>
            <x14:dxf>
              <font>
                <color theme="0"/>
              </font>
              <fill>
                <patternFill>
                  <bgColor theme="0"/>
                </patternFill>
              </fill>
            </x14:dxf>
          </x14:cfRule>
          <xm:sqref>X15:Y15</xm:sqref>
        </x14:conditionalFormatting>
        <x14:conditionalFormatting xmlns:xm="http://schemas.microsoft.com/office/excel/2006/main">
          <x14:cfRule type="expression" priority="673" id="{7D95453C-5677-4440-BFDC-5F1E0D951658}">
            <xm:f>$Z$8='Assessment Details'!$Q$23</xm:f>
            <x14:dxf>
              <border>
                <left style="thin">
                  <color theme="0"/>
                </left>
                <right style="thin">
                  <color theme="0"/>
                </right>
                <top style="thin">
                  <color theme="0"/>
                </top>
                <bottom style="thin">
                  <color theme="0"/>
                </bottom>
                <vertical/>
                <horizontal/>
              </border>
            </x14:dxf>
          </x14:cfRule>
          <xm:sqref>X15:Y15</xm:sqref>
        </x14:conditionalFormatting>
        <x14:conditionalFormatting xmlns:xm="http://schemas.microsoft.com/office/excel/2006/main">
          <x14:cfRule type="expression" priority="669" id="{FCAF0747-B7DD-45B9-9D71-FD5596F44912}">
            <xm:f>$Z$8='Assessment Details'!$Q$23</xm:f>
            <x14:dxf>
              <font>
                <color theme="0"/>
              </font>
              <fill>
                <patternFill>
                  <bgColor theme="0"/>
                </patternFill>
              </fill>
            </x14:dxf>
          </x14:cfRule>
          <xm:sqref>U15</xm:sqref>
        </x14:conditionalFormatting>
        <x14:conditionalFormatting xmlns:xm="http://schemas.microsoft.com/office/excel/2006/main">
          <x14:cfRule type="expression" priority="668" id="{8A10B796-3553-48A3-A8D4-D6C07CC5F03D}">
            <xm:f>$Z$8='Assessment Details'!$Q$23</xm:f>
            <x14:dxf>
              <border>
                <left style="thin">
                  <color theme="0"/>
                </left>
                <right style="thin">
                  <color theme="0"/>
                </right>
                <top style="thin">
                  <color theme="0"/>
                </top>
                <bottom style="thin">
                  <color theme="0"/>
                </bottom>
                <vertical/>
                <horizontal/>
              </border>
            </x14:dxf>
          </x14:cfRule>
          <xm:sqref>U15</xm:sqref>
        </x14:conditionalFormatting>
        <x14:conditionalFormatting xmlns:xm="http://schemas.microsoft.com/office/excel/2006/main">
          <x14:cfRule type="expression" priority="637" id="{1814D816-8456-4F4E-A505-94BF373FFA61}">
            <xm:f>$S$8='Assessment Details'!$Q$23</xm:f>
            <x14:dxf>
              <font>
                <color theme="0"/>
              </font>
              <fill>
                <patternFill>
                  <bgColor theme="0"/>
                </patternFill>
              </fill>
              <border>
                <vertical/>
                <horizontal/>
              </border>
            </x14:dxf>
          </x14:cfRule>
          <xm:sqref>P36:P37</xm:sqref>
        </x14:conditionalFormatting>
        <x14:conditionalFormatting xmlns:xm="http://schemas.microsoft.com/office/excel/2006/main">
          <x14:cfRule type="expression" priority="636" id="{8648F252-ED19-4266-80EA-94115D554B1E}">
            <xm:f>$S$8='Assessment Details'!$Q$23</xm:f>
            <x14:dxf>
              <border>
                <left style="thin">
                  <color theme="0"/>
                </left>
                <right style="thin">
                  <color theme="0"/>
                </right>
                <top style="thin">
                  <color theme="0"/>
                </top>
                <bottom style="thin">
                  <color theme="0"/>
                </bottom>
                <vertical/>
                <horizontal/>
              </border>
            </x14:dxf>
          </x14:cfRule>
          <xm:sqref>P36:P37</xm:sqref>
        </x14:conditionalFormatting>
        <x14:conditionalFormatting xmlns:xm="http://schemas.microsoft.com/office/excel/2006/main">
          <x14:cfRule type="expression" priority="630" id="{9A0ECD73-169E-4688-A925-E62F5A4942F3}">
            <xm:f>$S$8='Assessment Details'!$Q$23</xm:f>
            <x14:dxf>
              <font>
                <color theme="0"/>
              </font>
              <fill>
                <patternFill>
                  <bgColor theme="0"/>
                </patternFill>
              </fill>
              <border>
                <vertical/>
                <horizontal/>
              </border>
            </x14:dxf>
          </x14:cfRule>
          <xm:sqref>P63:P64</xm:sqref>
        </x14:conditionalFormatting>
        <x14:conditionalFormatting xmlns:xm="http://schemas.microsoft.com/office/excel/2006/main">
          <x14:cfRule type="expression" priority="629" id="{EBE9A871-3F99-4979-A4F4-2335F98EF000}">
            <xm:f>$S$8='Assessment Details'!$Q$23</xm:f>
            <x14:dxf>
              <border>
                <left style="thin">
                  <color theme="0"/>
                </left>
                <right style="thin">
                  <color theme="0"/>
                </right>
                <top style="thin">
                  <color theme="0"/>
                </top>
                <bottom style="thin">
                  <color theme="0"/>
                </bottom>
                <vertical/>
                <horizontal/>
              </border>
            </x14:dxf>
          </x14:cfRule>
          <xm:sqref>P63:P64</xm:sqref>
        </x14:conditionalFormatting>
        <x14:conditionalFormatting xmlns:xm="http://schemas.microsoft.com/office/excel/2006/main">
          <x14:cfRule type="expression" priority="623" id="{88731133-85C1-497D-8440-7304B836D6C7}">
            <xm:f>$S$8='Assessment Details'!$Q$23</xm:f>
            <x14:dxf>
              <font>
                <color theme="0"/>
              </font>
              <fill>
                <patternFill>
                  <bgColor theme="0"/>
                </patternFill>
              </fill>
              <border>
                <vertical/>
                <horizontal/>
              </border>
            </x14:dxf>
          </x14:cfRule>
          <xm:sqref>P92:P93</xm:sqref>
        </x14:conditionalFormatting>
        <x14:conditionalFormatting xmlns:xm="http://schemas.microsoft.com/office/excel/2006/main">
          <x14:cfRule type="expression" priority="622" id="{83A9A1C1-341F-4085-939C-5EB00F0A4EFD}">
            <xm:f>$S$8='Assessment Details'!$Q$23</xm:f>
            <x14:dxf>
              <border>
                <left style="thin">
                  <color theme="0"/>
                </left>
                <right style="thin">
                  <color theme="0"/>
                </right>
                <top style="thin">
                  <color theme="0"/>
                </top>
                <bottom style="thin">
                  <color theme="0"/>
                </bottom>
                <vertical/>
                <horizontal/>
              </border>
            </x14:dxf>
          </x14:cfRule>
          <xm:sqref>P92:P93</xm:sqref>
        </x14:conditionalFormatting>
        <x14:conditionalFormatting xmlns:xm="http://schemas.microsoft.com/office/excel/2006/main">
          <x14:cfRule type="expression" priority="616" id="{5736BA94-FE01-46BA-9EE9-706893E950AD}">
            <xm:f>$S$8='Assessment Details'!$Q$23</xm:f>
            <x14:dxf>
              <font>
                <color theme="0"/>
              </font>
              <fill>
                <patternFill>
                  <bgColor theme="0"/>
                </patternFill>
              </fill>
              <border>
                <vertical/>
                <horizontal/>
              </border>
            </x14:dxf>
          </x14:cfRule>
          <xm:sqref>P101:P102</xm:sqref>
        </x14:conditionalFormatting>
        <x14:conditionalFormatting xmlns:xm="http://schemas.microsoft.com/office/excel/2006/main">
          <x14:cfRule type="expression" priority="615" id="{B287D32D-09AC-4542-908E-5C03F7DF3000}">
            <xm:f>$S$8='Assessment Details'!$Q$23</xm:f>
            <x14:dxf>
              <border>
                <left style="thin">
                  <color theme="0"/>
                </left>
                <right style="thin">
                  <color theme="0"/>
                </right>
                <top style="thin">
                  <color theme="0"/>
                </top>
                <bottom style="thin">
                  <color theme="0"/>
                </bottom>
                <vertical/>
                <horizontal/>
              </border>
            </x14:dxf>
          </x14:cfRule>
          <xm:sqref>P101:P102</xm:sqref>
        </x14:conditionalFormatting>
        <x14:conditionalFormatting xmlns:xm="http://schemas.microsoft.com/office/excel/2006/main">
          <x14:cfRule type="expression" priority="609" id="{BAEC9280-F404-4074-ACAF-4F63E3923BED}">
            <xm:f>$S$8='Assessment Details'!$Q$23</xm:f>
            <x14:dxf>
              <font>
                <color theme="0"/>
              </font>
              <fill>
                <patternFill>
                  <bgColor theme="0"/>
                </patternFill>
              </fill>
              <border>
                <vertical/>
                <horizontal/>
              </border>
            </x14:dxf>
          </x14:cfRule>
          <xm:sqref>P115:P116</xm:sqref>
        </x14:conditionalFormatting>
        <x14:conditionalFormatting xmlns:xm="http://schemas.microsoft.com/office/excel/2006/main">
          <x14:cfRule type="expression" priority="608" id="{B72FF84F-18DD-4E5D-AA5C-62AF8BEB20C0}">
            <xm:f>$S$8='Assessment Details'!$Q$23</xm:f>
            <x14:dxf>
              <border>
                <left style="thin">
                  <color theme="0"/>
                </left>
                <right style="thin">
                  <color theme="0"/>
                </right>
                <top style="thin">
                  <color theme="0"/>
                </top>
                <bottom style="thin">
                  <color theme="0"/>
                </bottom>
                <vertical/>
                <horizontal/>
              </border>
            </x14:dxf>
          </x14:cfRule>
          <xm:sqref>P115:P116</xm:sqref>
        </x14:conditionalFormatting>
        <x14:conditionalFormatting xmlns:xm="http://schemas.microsoft.com/office/excel/2006/main">
          <x14:cfRule type="expression" priority="602" id="{182A97A1-8919-4F98-85C4-E0C267AD6962}">
            <xm:f>$S$8='Assessment Details'!$Q$23</xm:f>
            <x14:dxf>
              <font>
                <color theme="0"/>
              </font>
              <fill>
                <patternFill>
                  <bgColor theme="0"/>
                </patternFill>
              </fill>
              <border>
                <vertical/>
                <horizontal/>
              </border>
            </x14:dxf>
          </x14:cfRule>
          <xm:sqref>P145:P146</xm:sqref>
        </x14:conditionalFormatting>
        <x14:conditionalFormatting xmlns:xm="http://schemas.microsoft.com/office/excel/2006/main">
          <x14:cfRule type="expression" priority="601" id="{D469E189-23D1-496D-8C4E-E6AA0AAB74A2}">
            <xm:f>$S$8='Assessment Details'!$Q$23</xm:f>
            <x14:dxf>
              <border>
                <left style="thin">
                  <color theme="0"/>
                </left>
                <right style="thin">
                  <color theme="0"/>
                </right>
                <top style="thin">
                  <color theme="0"/>
                </top>
                <bottom style="thin">
                  <color theme="0"/>
                </bottom>
                <vertical/>
                <horizontal/>
              </border>
            </x14:dxf>
          </x14:cfRule>
          <xm:sqref>P145:P146</xm:sqref>
        </x14:conditionalFormatting>
        <x14:conditionalFormatting xmlns:xm="http://schemas.microsoft.com/office/excel/2006/main">
          <x14:cfRule type="expression" priority="595" id="{288F7C53-6249-4956-B63F-F9F31F7E07EB}">
            <xm:f>$S$8='Assessment Details'!$Q$23</xm:f>
            <x14:dxf>
              <font>
                <color theme="0"/>
              </font>
              <fill>
                <patternFill>
                  <bgColor theme="0"/>
                </patternFill>
              </fill>
              <border>
                <vertical/>
                <horizontal/>
              </border>
            </x14:dxf>
          </x14:cfRule>
          <xm:sqref>P160:P161</xm:sqref>
        </x14:conditionalFormatting>
        <x14:conditionalFormatting xmlns:xm="http://schemas.microsoft.com/office/excel/2006/main">
          <x14:cfRule type="expression" priority="594" id="{2C5498B1-8C8E-47D5-A2F1-8DA973C74463}">
            <xm:f>$S$8='Assessment Details'!$Q$23</xm:f>
            <x14:dxf>
              <border>
                <left style="thin">
                  <color theme="0"/>
                </left>
                <right style="thin">
                  <color theme="0"/>
                </right>
                <top style="thin">
                  <color theme="0"/>
                </top>
                <bottom style="thin">
                  <color theme="0"/>
                </bottom>
                <vertical/>
                <horizontal/>
              </border>
            </x14:dxf>
          </x14:cfRule>
          <xm:sqref>P160:P161</xm:sqref>
        </x14:conditionalFormatting>
        <x14:conditionalFormatting xmlns:xm="http://schemas.microsoft.com/office/excel/2006/main">
          <x14:cfRule type="expression" priority="588" id="{74C1B7DC-0D98-4E3D-99BC-38306C50C7CC}">
            <xm:f>$S$8='Assessment Details'!$Q$23</xm:f>
            <x14:dxf>
              <font>
                <color theme="0"/>
              </font>
              <fill>
                <patternFill>
                  <bgColor theme="0"/>
                </patternFill>
              </fill>
              <border>
                <vertical/>
                <horizontal/>
              </border>
            </x14:dxf>
          </x14:cfRule>
          <xm:sqref>P191:P192</xm:sqref>
        </x14:conditionalFormatting>
        <x14:conditionalFormatting xmlns:xm="http://schemas.microsoft.com/office/excel/2006/main">
          <x14:cfRule type="expression" priority="587" id="{7ED43190-5314-425F-9359-B4E182C97424}">
            <xm:f>$S$8='Assessment Details'!$Q$23</xm:f>
            <x14:dxf>
              <border>
                <left style="thin">
                  <color theme="0"/>
                </left>
                <right style="thin">
                  <color theme="0"/>
                </right>
                <top style="thin">
                  <color theme="0"/>
                </top>
                <bottom style="thin">
                  <color theme="0"/>
                </bottom>
                <vertical/>
                <horizontal/>
              </border>
            </x14:dxf>
          </x14:cfRule>
          <xm:sqref>P191:P192</xm:sqref>
        </x14:conditionalFormatting>
        <x14:conditionalFormatting xmlns:xm="http://schemas.microsoft.com/office/excel/2006/main">
          <x14:cfRule type="expression" priority="581" id="{4A98C8D9-E7DE-435C-A48A-376A9AF70F60}">
            <xm:f>$S$8='Assessment Details'!$Q$23</xm:f>
            <x14:dxf>
              <font>
                <color theme="0"/>
              </font>
              <fill>
                <patternFill>
                  <bgColor theme="0"/>
                </patternFill>
              </fill>
              <border>
                <vertical/>
                <horizontal/>
              </border>
            </x14:dxf>
          </x14:cfRule>
          <xm:sqref>P208:P209</xm:sqref>
        </x14:conditionalFormatting>
        <x14:conditionalFormatting xmlns:xm="http://schemas.microsoft.com/office/excel/2006/main">
          <x14:cfRule type="expression" priority="580" id="{9A98555B-286B-4BCF-80C8-2808A450F13B}">
            <xm:f>$S$8='Assessment Details'!$Q$23</xm:f>
            <x14:dxf>
              <border>
                <left style="thin">
                  <color theme="0"/>
                </left>
                <right style="thin">
                  <color theme="0"/>
                </right>
                <top style="thin">
                  <color theme="0"/>
                </top>
                <bottom style="thin">
                  <color theme="0"/>
                </bottom>
                <vertical/>
                <horizontal/>
              </border>
            </x14:dxf>
          </x14:cfRule>
          <xm:sqref>P208:P209</xm:sqref>
        </x14:conditionalFormatting>
        <x14:conditionalFormatting xmlns:xm="http://schemas.microsoft.com/office/excel/2006/main">
          <x14:cfRule type="expression" priority="552" id="{8549E820-C377-48FD-A48B-8593111D4F8A}">
            <xm:f>$S$8='Assessment Details'!$Q$23</xm:f>
            <x14:dxf>
              <font>
                <color theme="0"/>
              </font>
              <fill>
                <patternFill>
                  <bgColor theme="0"/>
                </patternFill>
              </fill>
              <border>
                <vertical/>
                <horizontal/>
              </border>
            </x14:dxf>
          </x14:cfRule>
          <xm:sqref>W36:W37</xm:sqref>
        </x14:conditionalFormatting>
        <x14:conditionalFormatting xmlns:xm="http://schemas.microsoft.com/office/excel/2006/main">
          <x14:cfRule type="expression" priority="551" id="{3A81CF31-E8DE-433C-BBAB-BC4BC823E4CF}">
            <xm:f>$S$8='Assessment Details'!$Q$23</xm:f>
            <x14:dxf>
              <border>
                <left style="thin">
                  <color theme="0"/>
                </left>
                <right style="thin">
                  <color theme="0"/>
                </right>
                <top style="thin">
                  <color theme="0"/>
                </top>
                <bottom style="thin">
                  <color theme="0"/>
                </bottom>
                <vertical/>
                <horizontal/>
              </border>
            </x14:dxf>
          </x14:cfRule>
          <xm:sqref>W36:W37</xm:sqref>
        </x14:conditionalFormatting>
        <x14:conditionalFormatting xmlns:xm="http://schemas.microsoft.com/office/excel/2006/main">
          <x14:cfRule type="expression" priority="545" id="{56AD95EA-5B74-4280-B8EE-32D6E0A2A840}">
            <xm:f>$S$8='Assessment Details'!$Q$23</xm:f>
            <x14:dxf>
              <font>
                <color theme="0"/>
              </font>
              <fill>
                <patternFill>
                  <bgColor theme="0"/>
                </patternFill>
              </fill>
              <border>
                <vertical/>
                <horizontal/>
              </border>
            </x14:dxf>
          </x14:cfRule>
          <xm:sqref>W63:W64</xm:sqref>
        </x14:conditionalFormatting>
        <x14:conditionalFormatting xmlns:xm="http://schemas.microsoft.com/office/excel/2006/main">
          <x14:cfRule type="expression" priority="544" id="{B29C4BCE-0079-496D-8EDC-BDB4F14A6BE5}">
            <xm:f>$S$8='Assessment Details'!$Q$23</xm:f>
            <x14:dxf>
              <border>
                <left style="thin">
                  <color theme="0"/>
                </left>
                <right style="thin">
                  <color theme="0"/>
                </right>
                <top style="thin">
                  <color theme="0"/>
                </top>
                <bottom style="thin">
                  <color theme="0"/>
                </bottom>
                <vertical/>
                <horizontal/>
              </border>
            </x14:dxf>
          </x14:cfRule>
          <xm:sqref>W63:W64</xm:sqref>
        </x14:conditionalFormatting>
        <x14:conditionalFormatting xmlns:xm="http://schemas.microsoft.com/office/excel/2006/main">
          <x14:cfRule type="expression" priority="538" id="{703C8C6D-B206-4EA6-8EF5-42C47E7733B6}">
            <xm:f>$S$8='Assessment Details'!$Q$23</xm:f>
            <x14:dxf>
              <font>
                <color theme="0"/>
              </font>
              <fill>
                <patternFill>
                  <bgColor theme="0"/>
                </patternFill>
              </fill>
              <border>
                <vertical/>
                <horizontal/>
              </border>
            </x14:dxf>
          </x14:cfRule>
          <xm:sqref>W92:W93</xm:sqref>
        </x14:conditionalFormatting>
        <x14:conditionalFormatting xmlns:xm="http://schemas.microsoft.com/office/excel/2006/main">
          <x14:cfRule type="expression" priority="537" id="{FCC3926C-CE4D-447F-B735-42A02E10F3CC}">
            <xm:f>$S$8='Assessment Details'!$Q$23</xm:f>
            <x14:dxf>
              <border>
                <left style="thin">
                  <color theme="0"/>
                </left>
                <right style="thin">
                  <color theme="0"/>
                </right>
                <top style="thin">
                  <color theme="0"/>
                </top>
                <bottom style="thin">
                  <color theme="0"/>
                </bottom>
                <vertical/>
                <horizontal/>
              </border>
            </x14:dxf>
          </x14:cfRule>
          <xm:sqref>W92:W93</xm:sqref>
        </x14:conditionalFormatting>
        <x14:conditionalFormatting xmlns:xm="http://schemas.microsoft.com/office/excel/2006/main">
          <x14:cfRule type="expression" priority="531" id="{34E6D511-70AB-4E9D-B5C3-3CA4966EA31C}">
            <xm:f>$S$8='Assessment Details'!$Q$23</xm:f>
            <x14:dxf>
              <font>
                <color theme="0"/>
              </font>
              <fill>
                <patternFill>
                  <bgColor theme="0"/>
                </patternFill>
              </fill>
              <border>
                <vertical/>
                <horizontal/>
              </border>
            </x14:dxf>
          </x14:cfRule>
          <xm:sqref>W101:W102</xm:sqref>
        </x14:conditionalFormatting>
        <x14:conditionalFormatting xmlns:xm="http://schemas.microsoft.com/office/excel/2006/main">
          <x14:cfRule type="expression" priority="530" id="{B7DC1EBD-D6C5-4B8C-8B3A-9E4F0FEC1CB8}">
            <xm:f>$S$8='Assessment Details'!$Q$23</xm:f>
            <x14:dxf>
              <border>
                <left style="thin">
                  <color theme="0"/>
                </left>
                <right style="thin">
                  <color theme="0"/>
                </right>
                <top style="thin">
                  <color theme="0"/>
                </top>
                <bottom style="thin">
                  <color theme="0"/>
                </bottom>
                <vertical/>
                <horizontal/>
              </border>
            </x14:dxf>
          </x14:cfRule>
          <xm:sqref>W101:W102</xm:sqref>
        </x14:conditionalFormatting>
        <x14:conditionalFormatting xmlns:xm="http://schemas.microsoft.com/office/excel/2006/main">
          <x14:cfRule type="expression" priority="524" id="{F94B71A7-BD36-4236-A6DC-1AAF0A79DA9C}">
            <xm:f>$S$8='Assessment Details'!$Q$23</xm:f>
            <x14:dxf>
              <font>
                <color theme="0"/>
              </font>
              <fill>
                <patternFill>
                  <bgColor theme="0"/>
                </patternFill>
              </fill>
              <border>
                <vertical/>
                <horizontal/>
              </border>
            </x14:dxf>
          </x14:cfRule>
          <xm:sqref>W115:W116</xm:sqref>
        </x14:conditionalFormatting>
        <x14:conditionalFormatting xmlns:xm="http://schemas.microsoft.com/office/excel/2006/main">
          <x14:cfRule type="expression" priority="523" id="{33E3661B-D345-4D41-B2F3-A7D4897D48C9}">
            <xm:f>$S$8='Assessment Details'!$Q$23</xm:f>
            <x14:dxf>
              <border>
                <left style="thin">
                  <color theme="0"/>
                </left>
                <right style="thin">
                  <color theme="0"/>
                </right>
                <top style="thin">
                  <color theme="0"/>
                </top>
                <bottom style="thin">
                  <color theme="0"/>
                </bottom>
                <vertical/>
                <horizontal/>
              </border>
            </x14:dxf>
          </x14:cfRule>
          <xm:sqref>W115:W116</xm:sqref>
        </x14:conditionalFormatting>
        <x14:conditionalFormatting xmlns:xm="http://schemas.microsoft.com/office/excel/2006/main">
          <x14:cfRule type="expression" priority="517" id="{C86AD676-9B60-41E2-B9D1-2A4407514768}">
            <xm:f>$S$8='Assessment Details'!$Q$23</xm:f>
            <x14:dxf>
              <font>
                <color theme="0"/>
              </font>
              <fill>
                <patternFill>
                  <bgColor theme="0"/>
                </patternFill>
              </fill>
              <border>
                <vertical/>
                <horizontal/>
              </border>
            </x14:dxf>
          </x14:cfRule>
          <xm:sqref>W145:W146</xm:sqref>
        </x14:conditionalFormatting>
        <x14:conditionalFormatting xmlns:xm="http://schemas.microsoft.com/office/excel/2006/main">
          <x14:cfRule type="expression" priority="516" id="{B009EFF1-5C4E-404B-97CB-A75E98C24251}">
            <xm:f>$S$8='Assessment Details'!$Q$23</xm:f>
            <x14:dxf>
              <border>
                <left style="thin">
                  <color theme="0"/>
                </left>
                <right style="thin">
                  <color theme="0"/>
                </right>
                <top style="thin">
                  <color theme="0"/>
                </top>
                <bottom style="thin">
                  <color theme="0"/>
                </bottom>
                <vertical/>
                <horizontal/>
              </border>
            </x14:dxf>
          </x14:cfRule>
          <xm:sqref>W145:W146</xm:sqref>
        </x14:conditionalFormatting>
        <x14:conditionalFormatting xmlns:xm="http://schemas.microsoft.com/office/excel/2006/main">
          <x14:cfRule type="expression" priority="510" id="{6323C794-8A7C-4992-8E90-CAF3FDDFA08D}">
            <xm:f>$S$8='Assessment Details'!$Q$23</xm:f>
            <x14:dxf>
              <font>
                <color theme="0"/>
              </font>
              <fill>
                <patternFill>
                  <bgColor theme="0"/>
                </patternFill>
              </fill>
              <border>
                <vertical/>
                <horizontal/>
              </border>
            </x14:dxf>
          </x14:cfRule>
          <xm:sqref>W160:W161</xm:sqref>
        </x14:conditionalFormatting>
        <x14:conditionalFormatting xmlns:xm="http://schemas.microsoft.com/office/excel/2006/main">
          <x14:cfRule type="expression" priority="509" id="{F0873F40-3A68-4411-B534-637CE6F9DFA3}">
            <xm:f>$S$8='Assessment Details'!$Q$23</xm:f>
            <x14:dxf>
              <border>
                <left style="thin">
                  <color theme="0"/>
                </left>
                <right style="thin">
                  <color theme="0"/>
                </right>
                <top style="thin">
                  <color theme="0"/>
                </top>
                <bottom style="thin">
                  <color theme="0"/>
                </bottom>
                <vertical/>
                <horizontal/>
              </border>
            </x14:dxf>
          </x14:cfRule>
          <xm:sqref>W160:W161</xm:sqref>
        </x14:conditionalFormatting>
        <x14:conditionalFormatting xmlns:xm="http://schemas.microsoft.com/office/excel/2006/main">
          <x14:cfRule type="expression" priority="503" id="{FCD05809-E385-43B1-BEE9-32BBF65D574F}">
            <xm:f>$S$8='Assessment Details'!$Q$23</xm:f>
            <x14:dxf>
              <font>
                <color theme="0"/>
              </font>
              <fill>
                <patternFill>
                  <bgColor theme="0"/>
                </patternFill>
              </fill>
              <border>
                <vertical/>
                <horizontal/>
              </border>
            </x14:dxf>
          </x14:cfRule>
          <xm:sqref>W191:W192</xm:sqref>
        </x14:conditionalFormatting>
        <x14:conditionalFormatting xmlns:xm="http://schemas.microsoft.com/office/excel/2006/main">
          <x14:cfRule type="expression" priority="502" id="{7FDAF1A2-2419-4B82-B8EF-8158B62BB591}">
            <xm:f>$S$8='Assessment Details'!$Q$23</xm:f>
            <x14:dxf>
              <border>
                <left style="thin">
                  <color theme="0"/>
                </left>
                <right style="thin">
                  <color theme="0"/>
                </right>
                <top style="thin">
                  <color theme="0"/>
                </top>
                <bottom style="thin">
                  <color theme="0"/>
                </bottom>
                <vertical/>
                <horizontal/>
              </border>
            </x14:dxf>
          </x14:cfRule>
          <xm:sqref>W191:W192</xm:sqref>
        </x14:conditionalFormatting>
        <x14:conditionalFormatting xmlns:xm="http://schemas.microsoft.com/office/excel/2006/main">
          <x14:cfRule type="expression" priority="496" id="{A07BA65D-7D48-4F65-A996-E0325805E0BB}">
            <xm:f>$S$8='Assessment Details'!$Q$23</xm:f>
            <x14:dxf>
              <font>
                <color theme="0"/>
              </font>
              <fill>
                <patternFill>
                  <bgColor theme="0"/>
                </patternFill>
              </fill>
              <border>
                <vertical/>
                <horizontal/>
              </border>
            </x14:dxf>
          </x14:cfRule>
          <xm:sqref>W208:W209</xm:sqref>
        </x14:conditionalFormatting>
        <x14:conditionalFormatting xmlns:xm="http://schemas.microsoft.com/office/excel/2006/main">
          <x14:cfRule type="expression" priority="495" id="{E1516C20-E913-452D-8F9C-E50184B72040}">
            <xm:f>$S$8='Assessment Details'!$Q$23</xm:f>
            <x14:dxf>
              <border>
                <left style="thin">
                  <color theme="0"/>
                </left>
                <right style="thin">
                  <color theme="0"/>
                </right>
                <top style="thin">
                  <color theme="0"/>
                </top>
                <bottom style="thin">
                  <color theme="0"/>
                </bottom>
                <vertical/>
                <horizontal/>
              </border>
            </x14:dxf>
          </x14:cfRule>
          <xm:sqref>W208:W209</xm:sqref>
        </x14:conditionalFormatting>
        <x14:conditionalFormatting xmlns:xm="http://schemas.microsoft.com/office/excel/2006/main">
          <x14:cfRule type="expression" priority="5281" id="{1A60305C-32B7-4D4F-9804-69A16324B9A7}">
            <xm:f>$S$8='Assessment Details'!$Q$23</xm:f>
            <x14:dxf>
              <border>
                <vertical/>
                <horizontal/>
              </border>
            </x14:dxf>
          </x14:cfRule>
          <xm:sqref>N9:S9</xm:sqref>
        </x14:conditionalFormatting>
        <x14:conditionalFormatting xmlns:xm="http://schemas.microsoft.com/office/excel/2006/main">
          <x14:cfRule type="expression" priority="227" id="{316732AE-0C92-4BAF-87A4-73920F4C29A8}">
            <xm:f>$S$8='Assessment Details'!$Q$23</xm:f>
            <x14:dxf>
              <font>
                <color theme="0"/>
              </font>
              <fill>
                <patternFill>
                  <bgColor theme="0"/>
                </patternFill>
              </fill>
              <border>
                <vertical/>
                <horizontal/>
              </border>
            </x14:dxf>
          </x14:cfRule>
          <xm:sqref>N39</xm:sqref>
        </x14:conditionalFormatting>
        <x14:conditionalFormatting xmlns:xm="http://schemas.microsoft.com/office/excel/2006/main">
          <x14:cfRule type="expression" priority="226" id="{349D7929-A46C-4B01-9FA8-9196D94CB8E9}">
            <xm:f>$S$8='Assessment Details'!$Q$23</xm:f>
            <x14:dxf>
              <border>
                <left style="thin">
                  <color theme="0"/>
                </left>
                <right style="thin">
                  <color theme="0"/>
                </right>
                <top style="thin">
                  <color theme="0"/>
                </top>
                <bottom style="thin">
                  <color theme="0"/>
                </bottom>
                <vertical/>
                <horizontal/>
              </border>
            </x14:dxf>
          </x14:cfRule>
          <xm:sqref>N39</xm:sqref>
        </x14:conditionalFormatting>
        <x14:conditionalFormatting xmlns:xm="http://schemas.microsoft.com/office/excel/2006/main">
          <x14:cfRule type="expression" priority="220" id="{EE5D9CA1-F0E4-419F-910C-6DE85D74E322}">
            <xm:f>$Z$8='Assessment Details'!$Q$23</xm:f>
            <x14:dxf>
              <font>
                <color theme="0"/>
              </font>
              <fill>
                <patternFill>
                  <bgColor theme="0"/>
                </patternFill>
              </fill>
            </x14:dxf>
          </x14:cfRule>
          <xm:sqref>U39</xm:sqref>
        </x14:conditionalFormatting>
        <x14:conditionalFormatting xmlns:xm="http://schemas.microsoft.com/office/excel/2006/main">
          <x14:cfRule type="expression" priority="219" id="{0ED5B0BE-EB5F-459A-97B7-CB07977EF185}">
            <xm:f>$Z$8='Assessment Details'!$Q$23</xm:f>
            <x14:dxf>
              <border>
                <left style="thin">
                  <color theme="0"/>
                </left>
                <right style="thin">
                  <color theme="0"/>
                </right>
                <top style="thin">
                  <color theme="0"/>
                </top>
                <bottom style="thin">
                  <color theme="0"/>
                </bottom>
                <vertical/>
                <horizontal/>
              </border>
            </x14:dxf>
          </x14:cfRule>
          <xm:sqref>U39</xm:sqref>
        </x14:conditionalFormatting>
        <x14:conditionalFormatting xmlns:xm="http://schemas.microsoft.com/office/excel/2006/main">
          <x14:cfRule type="expression" priority="200" id="{65CA73E6-BD38-436B-8667-DF9AAF8E6316}">
            <xm:f>$S$8='Assessment Details'!$Q$23</xm:f>
            <x14:dxf>
              <font>
                <color theme="0"/>
              </font>
              <fill>
                <patternFill>
                  <bgColor theme="0"/>
                </patternFill>
              </fill>
              <border>
                <vertical/>
                <horizontal/>
              </border>
            </x14:dxf>
          </x14:cfRule>
          <xm:sqref>Q152:R152</xm:sqref>
        </x14:conditionalFormatting>
        <x14:conditionalFormatting xmlns:xm="http://schemas.microsoft.com/office/excel/2006/main">
          <x14:cfRule type="expression" priority="199" id="{3A565662-0B6D-4CA4-945C-1FAF4D2A9455}">
            <xm:f>$S$8='Assessment Details'!$Q$23</xm:f>
            <x14:dxf>
              <border>
                <left style="thin">
                  <color theme="0"/>
                </left>
                <right style="thin">
                  <color theme="0"/>
                </right>
                <top style="thin">
                  <color theme="0"/>
                </top>
                <bottom style="thin">
                  <color theme="0"/>
                </bottom>
                <vertical/>
                <horizontal/>
              </border>
            </x14:dxf>
          </x14:cfRule>
          <xm:sqref>Q152:R152</xm:sqref>
        </x14:conditionalFormatting>
        <x14:conditionalFormatting xmlns:xm="http://schemas.microsoft.com/office/excel/2006/main">
          <x14:cfRule type="expression" priority="191" id="{08BEB683-C2B8-49B9-8E2B-8E5DF0EAEDE1}">
            <xm:f>$S$8='Assessment Details'!$Q$23</xm:f>
            <x14:dxf>
              <font>
                <color theme="0"/>
              </font>
              <fill>
                <patternFill>
                  <bgColor theme="0"/>
                </patternFill>
              </fill>
              <border>
                <vertical/>
                <horizontal/>
              </border>
            </x14:dxf>
          </x14:cfRule>
          <xm:sqref>N152</xm:sqref>
        </x14:conditionalFormatting>
        <x14:conditionalFormatting xmlns:xm="http://schemas.microsoft.com/office/excel/2006/main">
          <x14:cfRule type="expression" priority="190" id="{B351332A-CDBD-4BF2-B68B-54A083937E14}">
            <xm:f>$S$8='Assessment Details'!$Q$23</xm:f>
            <x14:dxf>
              <border>
                <left style="thin">
                  <color theme="0"/>
                </left>
                <right style="thin">
                  <color theme="0"/>
                </right>
                <top style="thin">
                  <color theme="0"/>
                </top>
                <bottom style="thin">
                  <color theme="0"/>
                </bottom>
                <vertical/>
                <horizontal/>
              </border>
            </x14:dxf>
          </x14:cfRule>
          <xm:sqref>N152</xm:sqref>
        </x14:conditionalFormatting>
        <x14:conditionalFormatting xmlns:xm="http://schemas.microsoft.com/office/excel/2006/main">
          <x14:cfRule type="expression" priority="183" id="{54BAFC6B-26D6-45D6-B24F-D347232A6286}">
            <xm:f>$Z$8='Assessment Details'!$Q$23</xm:f>
            <x14:dxf>
              <font>
                <color theme="0"/>
              </font>
              <fill>
                <patternFill>
                  <bgColor theme="0"/>
                </patternFill>
              </fill>
            </x14:dxf>
          </x14:cfRule>
          <xm:sqref>X152:Y152</xm:sqref>
        </x14:conditionalFormatting>
        <x14:conditionalFormatting xmlns:xm="http://schemas.microsoft.com/office/excel/2006/main">
          <x14:cfRule type="expression" priority="182" id="{4D014AA0-BD19-4252-AD63-B82775449FD7}">
            <xm:f>$Z$8='Assessment Details'!$Q$23</xm:f>
            <x14:dxf>
              <border>
                <left style="thin">
                  <color theme="0"/>
                </left>
                <right style="thin">
                  <color theme="0"/>
                </right>
                <top style="thin">
                  <color theme="0"/>
                </top>
                <bottom style="thin">
                  <color theme="0"/>
                </bottom>
                <vertical/>
                <horizontal/>
              </border>
            </x14:dxf>
          </x14:cfRule>
          <xm:sqref>X152:Y152</xm:sqref>
        </x14:conditionalFormatting>
        <x14:conditionalFormatting xmlns:xm="http://schemas.microsoft.com/office/excel/2006/main">
          <x14:cfRule type="expression" priority="178" id="{44621CD4-E4DB-4918-8BED-0B3E67666858}">
            <xm:f>$Z$8='Assessment Details'!$Q$23</xm:f>
            <x14:dxf>
              <font>
                <color theme="0"/>
              </font>
              <fill>
                <patternFill>
                  <bgColor theme="0"/>
                </patternFill>
              </fill>
            </x14:dxf>
          </x14:cfRule>
          <xm:sqref>U152</xm:sqref>
        </x14:conditionalFormatting>
        <x14:conditionalFormatting xmlns:xm="http://schemas.microsoft.com/office/excel/2006/main">
          <x14:cfRule type="expression" priority="177" id="{DFF0AE6B-5353-4A62-8464-F3E14179ED2E}">
            <xm:f>$Z$8='Assessment Details'!$Q$23</xm:f>
            <x14:dxf>
              <border>
                <left style="thin">
                  <color theme="0"/>
                </left>
                <right style="thin">
                  <color theme="0"/>
                </right>
                <top style="thin">
                  <color theme="0"/>
                </top>
                <bottom style="thin">
                  <color theme="0"/>
                </bottom>
                <vertical/>
                <horizontal/>
              </border>
            </x14:dxf>
          </x14:cfRule>
          <xm:sqref>U152</xm:sqref>
        </x14:conditionalFormatting>
        <x14:conditionalFormatting xmlns:xm="http://schemas.microsoft.com/office/excel/2006/main">
          <x14:cfRule type="expression" priority="164" id="{CB642F8B-2E61-4CCA-845E-E9BF5EBC7179}">
            <xm:f>$S$8='Assessment Details'!$Q$23</xm:f>
            <x14:dxf>
              <font>
                <color theme="0"/>
              </font>
              <fill>
                <patternFill>
                  <bgColor theme="0"/>
                </patternFill>
              </fill>
              <border>
                <vertical/>
                <horizontal/>
              </border>
            </x14:dxf>
          </x14:cfRule>
          <xm:sqref>Q164</xm:sqref>
        </x14:conditionalFormatting>
        <x14:conditionalFormatting xmlns:xm="http://schemas.microsoft.com/office/excel/2006/main">
          <x14:cfRule type="expression" priority="163" id="{1A8B2317-D8BB-49D8-B51C-6BCC62A1BB7D}">
            <xm:f>$S$8='Assessment Details'!$Q$23</xm:f>
            <x14:dxf>
              <border>
                <left style="thin">
                  <color theme="0"/>
                </left>
                <right style="thin">
                  <color theme="0"/>
                </right>
                <top style="thin">
                  <color theme="0"/>
                </top>
                <bottom style="thin">
                  <color theme="0"/>
                </bottom>
                <vertical/>
                <horizontal/>
              </border>
            </x14:dxf>
          </x14:cfRule>
          <xm:sqref>Q164</xm:sqref>
        </x14:conditionalFormatting>
        <x14:conditionalFormatting xmlns:xm="http://schemas.microsoft.com/office/excel/2006/main">
          <x14:cfRule type="expression" priority="155" id="{934EF046-70D2-46EA-81CD-20AF2A8CEC09}">
            <xm:f>$S$8='Assessment Details'!$Q$23</xm:f>
            <x14:dxf>
              <font>
                <color theme="0"/>
              </font>
              <fill>
                <patternFill>
                  <bgColor theme="0"/>
                </patternFill>
              </fill>
              <border>
                <vertical/>
                <horizontal/>
              </border>
            </x14:dxf>
          </x14:cfRule>
          <xm:sqref>N164</xm:sqref>
        </x14:conditionalFormatting>
        <x14:conditionalFormatting xmlns:xm="http://schemas.microsoft.com/office/excel/2006/main">
          <x14:cfRule type="expression" priority="154" id="{09CA425F-C18C-4B7E-B211-7F4BD61EB152}">
            <xm:f>$S$8='Assessment Details'!$Q$23</xm:f>
            <x14:dxf>
              <border>
                <left style="thin">
                  <color theme="0"/>
                </left>
                <right style="thin">
                  <color theme="0"/>
                </right>
                <top style="thin">
                  <color theme="0"/>
                </top>
                <bottom style="thin">
                  <color theme="0"/>
                </bottom>
                <vertical/>
                <horizontal/>
              </border>
            </x14:dxf>
          </x14:cfRule>
          <xm:sqref>N164</xm:sqref>
        </x14:conditionalFormatting>
        <x14:conditionalFormatting xmlns:xm="http://schemas.microsoft.com/office/excel/2006/main">
          <x14:cfRule type="expression" priority="147" id="{B2FC46A1-2C92-496B-9E89-791D09A9AF0B}">
            <xm:f>$Z$8='Assessment Details'!$Q$23</xm:f>
            <x14:dxf>
              <font>
                <color theme="0"/>
              </font>
              <fill>
                <patternFill>
                  <bgColor theme="0"/>
                </patternFill>
              </fill>
            </x14:dxf>
          </x14:cfRule>
          <xm:sqref>X164:Y164</xm:sqref>
        </x14:conditionalFormatting>
        <x14:conditionalFormatting xmlns:xm="http://schemas.microsoft.com/office/excel/2006/main">
          <x14:cfRule type="expression" priority="146" id="{A1E9EE4F-CE82-46D0-BBA8-D422B26625B9}">
            <xm:f>$Z$8='Assessment Details'!$Q$23</xm:f>
            <x14:dxf>
              <border>
                <left style="thin">
                  <color theme="0"/>
                </left>
                <right style="thin">
                  <color theme="0"/>
                </right>
                <top style="thin">
                  <color theme="0"/>
                </top>
                <bottom style="thin">
                  <color theme="0"/>
                </bottom>
                <vertical/>
                <horizontal/>
              </border>
            </x14:dxf>
          </x14:cfRule>
          <xm:sqref>X164:Y164</xm:sqref>
        </x14:conditionalFormatting>
        <x14:conditionalFormatting xmlns:xm="http://schemas.microsoft.com/office/excel/2006/main">
          <x14:cfRule type="expression" priority="142" id="{645F55AC-AEC3-49A7-9FF8-9C56EC37578F}">
            <xm:f>$Z$8='Assessment Details'!$Q$23</xm:f>
            <x14:dxf>
              <font>
                <color theme="0"/>
              </font>
              <fill>
                <patternFill>
                  <bgColor theme="0"/>
                </patternFill>
              </fill>
            </x14:dxf>
          </x14:cfRule>
          <xm:sqref>U164</xm:sqref>
        </x14:conditionalFormatting>
        <x14:conditionalFormatting xmlns:xm="http://schemas.microsoft.com/office/excel/2006/main">
          <x14:cfRule type="expression" priority="141" id="{E3A3E958-208D-4007-9FEE-45A1BE170DA7}">
            <xm:f>$Z$8='Assessment Details'!$Q$23</xm:f>
            <x14:dxf>
              <border>
                <left style="thin">
                  <color theme="0"/>
                </left>
                <right style="thin">
                  <color theme="0"/>
                </right>
                <top style="thin">
                  <color theme="0"/>
                </top>
                <bottom style="thin">
                  <color theme="0"/>
                </bottom>
                <vertical/>
                <horizontal/>
              </border>
            </x14:dxf>
          </x14:cfRule>
          <xm:sqref>U164</xm:sqref>
        </x14:conditionalFormatting>
        <x14:conditionalFormatting xmlns:xm="http://schemas.microsoft.com/office/excel/2006/main">
          <x14:cfRule type="expression" priority="126" id="{040902CE-9860-413B-A8E8-2BA69DC644F4}">
            <xm:f>$S$8='Assessment Details'!$Q$23</xm:f>
            <x14:dxf>
              <font>
                <color theme="0"/>
              </font>
              <fill>
                <patternFill>
                  <bgColor theme="0"/>
                </patternFill>
              </fill>
              <border>
                <vertical/>
                <horizontal/>
              </border>
            </x14:dxf>
          </x14:cfRule>
          <xm:sqref>N69</xm:sqref>
        </x14:conditionalFormatting>
        <x14:conditionalFormatting xmlns:xm="http://schemas.microsoft.com/office/excel/2006/main">
          <x14:cfRule type="expression" priority="125" id="{7D7C6925-A257-49BE-A707-A28D0318336B}">
            <xm:f>$S$8='Assessment Details'!$Q$23</xm:f>
            <x14:dxf>
              <border>
                <left style="thin">
                  <color theme="0"/>
                </left>
                <right style="thin">
                  <color theme="0"/>
                </right>
                <top style="thin">
                  <color theme="0"/>
                </top>
                <bottom style="thin">
                  <color theme="0"/>
                </bottom>
                <vertical/>
                <horizontal/>
              </border>
            </x14:dxf>
          </x14:cfRule>
          <xm:sqref>N69</xm:sqref>
        </x14:conditionalFormatting>
        <x14:conditionalFormatting xmlns:xm="http://schemas.microsoft.com/office/excel/2006/main">
          <x14:cfRule type="expression" priority="115" id="{211DBCB8-0A17-42FE-9246-881838AB152E}">
            <xm:f>$Z$8='Assessment Details'!$Q$23</xm:f>
            <x14:dxf>
              <font>
                <color theme="0"/>
              </font>
              <fill>
                <patternFill>
                  <bgColor theme="0"/>
                </patternFill>
              </fill>
              <border>
                <left/>
                <right/>
                <top/>
                <bottom/>
              </border>
            </x14:dxf>
          </x14:cfRule>
          <xm:sqref>U69</xm:sqref>
        </x14:conditionalFormatting>
        <x14:conditionalFormatting xmlns:xm="http://schemas.microsoft.com/office/excel/2006/main">
          <x14:cfRule type="expression" priority="117" id="{37EEC3DA-3771-43C1-84AB-4DF49BD6D9B7}">
            <xm:f>$Z$8='Assessment Details'!$Q$23</xm:f>
            <x14:dxf>
              <font>
                <color theme="0"/>
              </font>
              <fill>
                <patternFill>
                  <bgColor theme="0"/>
                </patternFill>
              </fill>
            </x14:dxf>
          </x14:cfRule>
          <xm:sqref>U69</xm:sqref>
        </x14:conditionalFormatting>
        <x14:conditionalFormatting xmlns:xm="http://schemas.microsoft.com/office/excel/2006/main">
          <x14:cfRule type="expression" priority="116" id="{0341C9CF-C989-455B-BED3-3F5C54F48A03}">
            <xm:f>$Z$8='Assessment Details'!$Q$23</xm:f>
            <x14:dxf>
              <border>
                <left style="thin">
                  <color theme="0"/>
                </left>
                <right style="thin">
                  <color theme="0"/>
                </right>
                <top style="thin">
                  <color theme="0"/>
                </top>
                <bottom style="thin">
                  <color theme="0"/>
                </bottom>
                <vertical/>
                <horizontal/>
              </border>
            </x14:dxf>
          </x14:cfRule>
          <xm:sqref>U69</xm:sqref>
        </x14:conditionalFormatting>
        <x14:conditionalFormatting xmlns:xm="http://schemas.microsoft.com/office/excel/2006/main">
          <x14:cfRule type="expression" priority="81" id="{59F487A5-8B2D-4BD5-88C6-FFF118AED0A6}">
            <xm:f>$S$8='Assessment Details'!$Q$23</xm:f>
            <x14:dxf>
              <font>
                <color theme="0"/>
              </font>
              <fill>
                <patternFill>
                  <bgColor theme="0"/>
                </patternFill>
              </fill>
              <border>
                <left/>
                <right/>
                <top/>
                <bottom/>
                <vertical/>
                <horizontal/>
              </border>
            </x14:dxf>
          </x14:cfRule>
          <xm:sqref>N104:S104</xm:sqref>
        </x14:conditionalFormatting>
        <x14:conditionalFormatting xmlns:xm="http://schemas.microsoft.com/office/excel/2006/main">
          <x14:cfRule type="expression" priority="80" id="{2320E191-1905-4394-BA53-DCDC25252364}">
            <xm:f>$Z$8='Assessment Details'!$Q$23</xm:f>
            <x14:dxf>
              <font>
                <color theme="0"/>
              </font>
              <fill>
                <patternFill>
                  <bgColor theme="0"/>
                </patternFill>
              </fill>
              <border>
                <left/>
                <right/>
                <top/>
                <bottom/>
              </border>
            </x14:dxf>
          </x14:cfRule>
          <xm:sqref>U104:Z104</xm:sqref>
        </x14:conditionalFormatting>
        <x14:conditionalFormatting xmlns:xm="http://schemas.microsoft.com/office/excel/2006/main">
          <x14:cfRule type="expression" priority="99" id="{FAD9C128-0C7C-438D-A6E0-664F9EFCF777}">
            <xm:f>$S$8='Assessment Details'!$Q$23</xm:f>
            <x14:dxf>
              <font>
                <color theme="0"/>
              </font>
              <fill>
                <patternFill>
                  <bgColor theme="0"/>
                </patternFill>
              </fill>
              <border>
                <vertical/>
                <horizontal/>
              </border>
            </x14:dxf>
          </x14:cfRule>
          <xm:sqref>Q104:R104</xm:sqref>
        </x14:conditionalFormatting>
        <x14:conditionalFormatting xmlns:xm="http://schemas.microsoft.com/office/excel/2006/main">
          <x14:cfRule type="expression" priority="98" id="{0F82769C-0662-4902-9CE8-CBD8E6C78C1F}">
            <xm:f>$S$8='Assessment Details'!$Q$23</xm:f>
            <x14:dxf>
              <border>
                <left style="thin">
                  <color theme="0"/>
                </left>
                <right style="thin">
                  <color theme="0"/>
                </right>
                <top style="thin">
                  <color theme="0"/>
                </top>
                <bottom style="thin">
                  <color theme="0"/>
                </bottom>
                <vertical/>
                <horizontal/>
              </border>
            </x14:dxf>
          </x14:cfRule>
          <xm:sqref>Q104:R104</xm:sqref>
        </x14:conditionalFormatting>
        <x14:conditionalFormatting xmlns:xm="http://schemas.microsoft.com/office/excel/2006/main">
          <x14:cfRule type="expression" priority="97" id="{221EEEEE-A194-4069-968F-DD9AB90A71E1}">
            <xm:f>$Z$8='Assessment Details'!$Q$23</xm:f>
            <x14:dxf>
              <font>
                <color theme="0"/>
              </font>
              <fill>
                <patternFill>
                  <bgColor theme="0"/>
                </patternFill>
              </fill>
            </x14:dxf>
          </x14:cfRule>
          <xm:sqref>X104:Y104</xm:sqref>
        </x14:conditionalFormatting>
        <x14:conditionalFormatting xmlns:xm="http://schemas.microsoft.com/office/excel/2006/main">
          <x14:cfRule type="expression" priority="96" id="{E75D99F3-6014-48CB-86CE-FECF76B23D21}">
            <xm:f>$Z$8='Assessment Details'!$Q$23</xm:f>
            <x14:dxf>
              <border>
                <left style="thin">
                  <color theme="0"/>
                </left>
                <right style="thin">
                  <color theme="0"/>
                </right>
                <top style="thin">
                  <color theme="0"/>
                </top>
                <bottom style="thin">
                  <color theme="0"/>
                </bottom>
                <vertical/>
                <horizontal/>
              </border>
            </x14:dxf>
          </x14:cfRule>
          <xm:sqref>X104:Y104</xm:sqref>
        </x14:conditionalFormatting>
        <x14:conditionalFormatting xmlns:xm="http://schemas.microsoft.com/office/excel/2006/main">
          <x14:cfRule type="expression" priority="91" id="{BE0F4463-68BB-4278-8FD3-470859EB0CEF}">
            <xm:f>$S$8='Assessment Details'!$Q$23</xm:f>
            <x14:dxf>
              <font>
                <color theme="0"/>
              </font>
              <fill>
                <patternFill>
                  <bgColor theme="0"/>
                </patternFill>
              </fill>
              <border>
                <vertical/>
                <horizontal/>
              </border>
            </x14:dxf>
          </x14:cfRule>
          <xm:sqref>N104</xm:sqref>
        </x14:conditionalFormatting>
        <x14:conditionalFormatting xmlns:xm="http://schemas.microsoft.com/office/excel/2006/main">
          <x14:cfRule type="expression" priority="90" id="{F61E8D86-FBC6-461B-A60D-D5BFFB0DC163}">
            <xm:f>$S$8='Assessment Details'!$Q$23</xm:f>
            <x14:dxf>
              <border>
                <left style="thin">
                  <color theme="0"/>
                </left>
                <right style="thin">
                  <color theme="0"/>
                </right>
                <top style="thin">
                  <color theme="0"/>
                </top>
                <bottom style="thin">
                  <color theme="0"/>
                </bottom>
                <vertical/>
                <horizontal/>
              </border>
            </x14:dxf>
          </x14:cfRule>
          <xm:sqref>N104</xm:sqref>
        </x14:conditionalFormatting>
        <x14:conditionalFormatting xmlns:xm="http://schemas.microsoft.com/office/excel/2006/main">
          <x14:cfRule type="expression" priority="87" id="{2106F5EB-4ED7-4256-A41E-E75068169A45}">
            <xm:f>$Z$8='Assessment Details'!$Q$23</xm:f>
            <x14:dxf>
              <font>
                <color theme="0"/>
              </font>
              <fill>
                <patternFill>
                  <bgColor theme="0"/>
                </patternFill>
              </fill>
            </x14:dxf>
          </x14:cfRule>
          <xm:sqref>U104</xm:sqref>
        </x14:conditionalFormatting>
        <x14:conditionalFormatting xmlns:xm="http://schemas.microsoft.com/office/excel/2006/main">
          <x14:cfRule type="expression" priority="86" id="{BA7F8CDD-DC98-4F99-BB87-58C518A5CE34}">
            <xm:f>$Z$8='Assessment Details'!$Q$23</xm:f>
            <x14:dxf>
              <border>
                <left style="thin">
                  <color theme="0"/>
                </left>
                <right style="thin">
                  <color theme="0"/>
                </right>
                <top style="thin">
                  <color theme="0"/>
                </top>
                <bottom style="thin">
                  <color theme="0"/>
                </bottom>
                <vertical/>
                <horizontal/>
              </border>
            </x14:dxf>
          </x14:cfRule>
          <xm:sqref>U104</xm:sqref>
        </x14:conditionalFormatting>
        <x14:conditionalFormatting xmlns:xm="http://schemas.microsoft.com/office/excel/2006/main">
          <x14:cfRule type="expression" priority="40" id="{753631EF-28F7-4CED-8C27-9CDB1948039F}">
            <xm:f>$S$8='Assessment Details'!$Q$23</xm:f>
            <x14:dxf>
              <font>
                <color theme="0"/>
              </font>
              <fill>
                <patternFill>
                  <bgColor theme="0"/>
                </patternFill>
              </fill>
              <border>
                <left/>
                <right/>
                <top/>
                <bottom/>
                <vertical/>
                <horizontal/>
              </border>
            </x14:dxf>
          </x14:cfRule>
          <xm:sqref>N148:S148</xm:sqref>
        </x14:conditionalFormatting>
        <x14:conditionalFormatting xmlns:xm="http://schemas.microsoft.com/office/excel/2006/main">
          <x14:cfRule type="expression" priority="39" id="{B8C347FC-5C72-466C-AE24-F7F42136F625}">
            <xm:f>$Z$8='Assessment Details'!$Q$23</xm:f>
            <x14:dxf>
              <font>
                <color theme="0"/>
              </font>
              <fill>
                <patternFill>
                  <bgColor theme="0"/>
                </patternFill>
              </fill>
              <border>
                <left/>
                <right/>
                <top/>
                <bottom/>
              </border>
            </x14:dxf>
          </x14:cfRule>
          <xm:sqref>U148:Z148</xm:sqref>
        </x14:conditionalFormatting>
        <x14:conditionalFormatting xmlns:xm="http://schemas.microsoft.com/office/excel/2006/main">
          <x14:cfRule type="expression" priority="58" id="{8C2205B5-D082-41BE-9828-54B10EEB7ABF}">
            <xm:f>$S$8='Assessment Details'!$Q$23</xm:f>
            <x14:dxf>
              <font>
                <color theme="0"/>
              </font>
              <fill>
                <patternFill>
                  <bgColor theme="0"/>
                </patternFill>
              </fill>
              <border>
                <vertical/>
                <horizontal/>
              </border>
            </x14:dxf>
          </x14:cfRule>
          <xm:sqref>Q148:R148</xm:sqref>
        </x14:conditionalFormatting>
        <x14:conditionalFormatting xmlns:xm="http://schemas.microsoft.com/office/excel/2006/main">
          <x14:cfRule type="expression" priority="57" id="{25FAD901-5A52-44B1-AFEF-0E30576C9BFE}">
            <xm:f>$S$8='Assessment Details'!$Q$23</xm:f>
            <x14:dxf>
              <border>
                <left style="thin">
                  <color theme="0"/>
                </left>
                <right style="thin">
                  <color theme="0"/>
                </right>
                <top style="thin">
                  <color theme="0"/>
                </top>
                <bottom style="thin">
                  <color theme="0"/>
                </bottom>
                <vertical/>
                <horizontal/>
              </border>
            </x14:dxf>
          </x14:cfRule>
          <xm:sqref>Q148:R148</xm:sqref>
        </x14:conditionalFormatting>
        <x14:conditionalFormatting xmlns:xm="http://schemas.microsoft.com/office/excel/2006/main">
          <x14:cfRule type="expression" priority="56" id="{CB7E89B4-EAD9-4F74-9F14-36721AD881AE}">
            <xm:f>$Z$8='Assessment Details'!$Q$23</xm:f>
            <x14:dxf>
              <font>
                <color theme="0"/>
              </font>
              <fill>
                <patternFill>
                  <bgColor theme="0"/>
                </patternFill>
              </fill>
            </x14:dxf>
          </x14:cfRule>
          <xm:sqref>X148:Y148</xm:sqref>
        </x14:conditionalFormatting>
        <x14:conditionalFormatting xmlns:xm="http://schemas.microsoft.com/office/excel/2006/main">
          <x14:cfRule type="expression" priority="55" id="{4264F0D5-D4F3-401D-ADC2-375E1929F74B}">
            <xm:f>$Z$8='Assessment Details'!$Q$23</xm:f>
            <x14:dxf>
              <border>
                <left style="thin">
                  <color theme="0"/>
                </left>
                <right style="thin">
                  <color theme="0"/>
                </right>
                <top style="thin">
                  <color theme="0"/>
                </top>
                <bottom style="thin">
                  <color theme="0"/>
                </bottom>
                <vertical/>
                <horizontal/>
              </border>
            </x14:dxf>
          </x14:cfRule>
          <xm:sqref>X148:Y148</xm:sqref>
        </x14:conditionalFormatting>
        <x14:conditionalFormatting xmlns:xm="http://schemas.microsoft.com/office/excel/2006/main">
          <x14:cfRule type="expression" priority="50" id="{3880FE7C-F2DB-48D7-81FE-42D1DC40F41C}">
            <xm:f>$S$8='Assessment Details'!$Q$23</xm:f>
            <x14:dxf>
              <font>
                <color theme="0"/>
              </font>
              <fill>
                <patternFill>
                  <bgColor theme="0"/>
                </patternFill>
              </fill>
              <border>
                <vertical/>
                <horizontal/>
              </border>
            </x14:dxf>
          </x14:cfRule>
          <xm:sqref>N148</xm:sqref>
        </x14:conditionalFormatting>
        <x14:conditionalFormatting xmlns:xm="http://schemas.microsoft.com/office/excel/2006/main">
          <x14:cfRule type="expression" priority="49" id="{9C496002-7880-4E5F-A2AA-9F9108443287}">
            <xm:f>$S$8='Assessment Details'!$Q$23</xm:f>
            <x14:dxf>
              <border>
                <left style="thin">
                  <color theme="0"/>
                </left>
                <right style="thin">
                  <color theme="0"/>
                </right>
                <top style="thin">
                  <color theme="0"/>
                </top>
                <bottom style="thin">
                  <color theme="0"/>
                </bottom>
                <vertical/>
                <horizontal/>
              </border>
            </x14:dxf>
          </x14:cfRule>
          <xm:sqref>N148</xm:sqref>
        </x14:conditionalFormatting>
        <x14:conditionalFormatting xmlns:xm="http://schemas.microsoft.com/office/excel/2006/main">
          <x14:cfRule type="expression" priority="46" id="{5CA1B29F-1A24-4192-97ED-314F34B145BA}">
            <xm:f>$Z$8='Assessment Details'!$Q$23</xm:f>
            <x14:dxf>
              <font>
                <color theme="0"/>
              </font>
              <fill>
                <patternFill>
                  <bgColor theme="0"/>
                </patternFill>
              </fill>
            </x14:dxf>
          </x14:cfRule>
          <xm:sqref>U148</xm:sqref>
        </x14:conditionalFormatting>
        <x14:conditionalFormatting xmlns:xm="http://schemas.microsoft.com/office/excel/2006/main">
          <x14:cfRule type="expression" priority="45" id="{FE62FA4F-DAC3-4F7F-84A3-C2C17B881A0F}">
            <xm:f>$Z$8='Assessment Details'!$Q$23</xm:f>
            <x14:dxf>
              <border>
                <left style="thin">
                  <color theme="0"/>
                </left>
                <right style="thin">
                  <color theme="0"/>
                </right>
                <top style="thin">
                  <color theme="0"/>
                </top>
                <bottom style="thin">
                  <color theme="0"/>
                </bottom>
                <vertical/>
                <horizontal/>
              </border>
            </x14:dxf>
          </x14:cfRule>
          <xm:sqref>U148</xm:sqref>
        </x14:conditionalFormatting>
        <x14:conditionalFormatting xmlns:xm="http://schemas.microsoft.com/office/excel/2006/main">
          <x14:cfRule type="expression" priority="2" id="{FB513AC0-BF46-4EA1-9764-92B46301C5BF}">
            <xm:f>$S$8='Assessment Details'!$Q$23</xm:f>
            <x14:dxf>
              <font>
                <color theme="0"/>
              </font>
              <fill>
                <patternFill>
                  <bgColor theme="0"/>
                </patternFill>
              </fill>
              <border>
                <left/>
                <right/>
                <top/>
                <bottom/>
                <vertical/>
                <horizontal/>
              </border>
            </x14:dxf>
          </x14:cfRule>
          <xm:sqref>N136:S136</xm:sqref>
        </x14:conditionalFormatting>
        <x14:conditionalFormatting xmlns:xm="http://schemas.microsoft.com/office/excel/2006/main">
          <x14:cfRule type="expression" priority="37" id="{8272D6CF-31FE-45BA-9858-520A52503E9B}">
            <xm:f>$S$8='Assessment Details'!$Q$23</xm:f>
            <x14:dxf>
              <border>
                <left style="thin">
                  <color theme="0"/>
                </left>
                <right style="thin">
                  <color theme="0"/>
                </right>
                <top style="thin">
                  <color theme="0"/>
                </top>
                <bottom style="thin">
                  <color theme="0"/>
                </bottom>
                <vertical/>
                <horizontal/>
              </border>
            </x14:dxf>
          </x14:cfRule>
          <xm:sqref>Q136:R136</xm:sqref>
        </x14:conditionalFormatting>
        <x14:conditionalFormatting xmlns:xm="http://schemas.microsoft.com/office/excel/2006/main">
          <x14:cfRule type="expression" priority="1" id="{CFB16048-1C44-46C6-9915-C0B1B9D9D4D0}">
            <xm:f>$Z$8='Assessment Details'!$Q$23</xm:f>
            <x14:dxf>
              <font>
                <color theme="0"/>
              </font>
              <fill>
                <patternFill>
                  <bgColor theme="0"/>
                </patternFill>
              </fill>
              <border>
                <left/>
                <right/>
                <top/>
                <bottom/>
              </border>
            </x14:dxf>
          </x14:cfRule>
          <xm:sqref>U136:Z136</xm:sqref>
        </x14:conditionalFormatting>
        <x14:conditionalFormatting xmlns:xm="http://schemas.microsoft.com/office/excel/2006/main">
          <x14:cfRule type="expression" priority="26" id="{F4FCB03C-9991-4657-B3A4-C172320EADE2}">
            <xm:f>$Z$8='Assessment Details'!$Q$23</xm:f>
            <x14:dxf>
              <font>
                <color theme="0"/>
              </font>
              <fill>
                <patternFill>
                  <bgColor theme="0"/>
                </patternFill>
              </fill>
            </x14:dxf>
          </x14:cfRule>
          <xm:sqref>X136:Y136</xm:sqref>
        </x14:conditionalFormatting>
        <x14:conditionalFormatting xmlns:xm="http://schemas.microsoft.com/office/excel/2006/main">
          <x14:cfRule type="expression" priority="25" id="{52397341-4709-4971-B9C3-8F664875CBFF}">
            <xm:f>$Z$8='Assessment Details'!$Q$23</xm:f>
            <x14:dxf>
              <border>
                <left style="thin">
                  <color theme="0"/>
                </left>
                <right style="thin">
                  <color theme="0"/>
                </right>
                <top style="thin">
                  <color theme="0"/>
                </top>
                <bottom style="thin">
                  <color theme="0"/>
                </bottom>
                <vertical/>
                <horizontal/>
              </border>
            </x14:dxf>
          </x14:cfRule>
          <xm:sqref>X136:Y136</xm:sqref>
        </x14:conditionalFormatting>
        <x14:conditionalFormatting xmlns:xm="http://schemas.microsoft.com/office/excel/2006/main">
          <x14:cfRule type="expression" priority="12" id="{FA10BCCD-5F13-4B32-AEE2-32308139C0B9}">
            <xm:f>$S$8='Assessment Details'!$Q$23</xm:f>
            <x14:dxf>
              <font>
                <color theme="0"/>
              </font>
              <fill>
                <patternFill>
                  <bgColor theme="0"/>
                </patternFill>
              </fill>
              <border>
                <vertical/>
                <horizontal/>
              </border>
            </x14:dxf>
          </x14:cfRule>
          <xm:sqref>N136</xm:sqref>
        </x14:conditionalFormatting>
        <x14:conditionalFormatting xmlns:xm="http://schemas.microsoft.com/office/excel/2006/main">
          <x14:cfRule type="expression" priority="11" id="{C91DA647-F13F-4C74-BD17-677CB8B5CA84}">
            <xm:f>$S$8='Assessment Details'!$Q$23</xm:f>
            <x14:dxf>
              <border>
                <left style="thin">
                  <color theme="0"/>
                </left>
                <right style="thin">
                  <color theme="0"/>
                </right>
                <top style="thin">
                  <color theme="0"/>
                </top>
                <bottom style="thin">
                  <color theme="0"/>
                </bottom>
                <vertical/>
                <horizontal/>
              </border>
            </x14:dxf>
          </x14:cfRule>
          <xm:sqref>N136</xm:sqref>
        </x14:conditionalFormatting>
        <x14:conditionalFormatting xmlns:xm="http://schemas.microsoft.com/office/excel/2006/main">
          <x14:cfRule type="expression" priority="8" id="{EC8A3289-B5B7-47C5-AAE4-1F74BDB5E375}">
            <xm:f>$Z$8='Assessment Details'!$Q$23</xm:f>
            <x14:dxf>
              <font>
                <color theme="0"/>
              </font>
              <fill>
                <patternFill>
                  <bgColor theme="0"/>
                </patternFill>
              </fill>
            </x14:dxf>
          </x14:cfRule>
          <xm:sqref>U136</xm:sqref>
        </x14:conditionalFormatting>
        <x14:conditionalFormatting xmlns:xm="http://schemas.microsoft.com/office/excel/2006/main">
          <x14:cfRule type="expression" priority="7" id="{121D25EC-91F5-4D3E-890D-70BA55A374BA}">
            <xm:f>$Z$8='Assessment Details'!$Q$23</xm:f>
            <x14:dxf>
              <border>
                <left style="thin">
                  <color theme="0"/>
                </left>
                <right style="thin">
                  <color theme="0"/>
                </right>
                <top style="thin">
                  <color theme="0"/>
                </top>
                <bottom style="thin">
                  <color theme="0"/>
                </bottom>
                <vertical/>
                <horizontal/>
              </border>
            </x14:dxf>
          </x14:cfRule>
          <xm:sqref>U136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EDB0E46E-A690-4E9E-907B-0DEBCF537ED9}">
          <x14:formula1>
            <xm:f>'Assessment Details'!$R$51:$R$53</xm:f>
          </x14:formula1>
          <xm:sqref>G234 U234:W234 N234:P234</xm:sqref>
        </x14:dataValidation>
        <x14:dataValidation type="list" allowBlank="1" showInputMessage="1" showErrorMessage="1" xr:uid="{7BAB7664-1657-4388-A667-A1B92AB1F5BD}">
          <x14:formula1>
            <xm:f>'Assessment Details'!$S$51:$S$54</xm:f>
          </x14:formula1>
          <xm:sqref>G244 U244:W244 N244:P244</xm:sqref>
        </x14:dataValidation>
        <x14:dataValidation type="list" allowBlank="1" showInputMessage="1" showErrorMessage="1" xr:uid="{069A6983-AA53-496E-9371-44617596A3B1}">
          <x14:formula1>
            <xm:f>'Assessment Details'!$Y$51:$Y$54</xm:f>
          </x14:formula1>
          <xm:sqref>G257 U257:W257 N257:P257</xm:sqref>
        </x14:dataValidation>
        <x14:dataValidation type="list" allowBlank="1" showInputMessage="1" showErrorMessage="1" xr:uid="{015A6392-D46D-4C91-823D-B5853B933604}">
          <x14:formula1>
            <xm:f>'Assessment Details'!$V$51:$V$53</xm:f>
          </x14:formula1>
          <xm:sqref>G252 U252:W252 N252:P252</xm:sqref>
        </x14:dataValidation>
        <x14:dataValidation type="list" allowBlank="1" showInputMessage="1" showErrorMessage="1" xr:uid="{0FCCE17B-5FA7-4A25-8B07-FF398FDC2B42}">
          <x14:formula1>
            <xm:f>'Assessment Details'!$T$51:$T$53</xm:f>
          </x14:formula1>
          <xm:sqref>G245 U245:W245 N245:P245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K370"/>
  <sheetViews>
    <sheetView topLeftCell="A66" zoomScale="85" zoomScaleNormal="85" workbookViewId="0">
      <pane xSplit="4" topLeftCell="E1" activePane="topRight" state="frozen"/>
      <selection activeCell="A142" sqref="A142"/>
      <selection pane="topRight" activeCell="G77" sqref="G77"/>
    </sheetView>
  </sheetViews>
  <sheetFormatPr defaultColWidth="9.140625" defaultRowHeight="15" x14ac:dyDescent="0.25"/>
  <cols>
    <col min="1" max="1" width="8.42578125" style="96" customWidth="1"/>
    <col min="2" max="2" width="10.7109375" style="96" customWidth="1"/>
    <col min="3" max="3" width="8.7109375" style="96" customWidth="1"/>
    <col min="4" max="4" width="60.85546875" style="96" customWidth="1"/>
    <col min="5" max="13" width="11.28515625" style="774" customWidth="1"/>
    <col min="14" max="14" width="11.5703125" style="774" customWidth="1"/>
    <col min="15" max="17" width="11.28515625" style="774" customWidth="1"/>
    <col min="18" max="18" width="11.5703125" style="96" customWidth="1"/>
    <col min="19" max="19" width="15.7109375" style="96" customWidth="1"/>
    <col min="20" max="20" width="7" style="96" customWidth="1"/>
    <col min="21" max="21" width="5.5703125" style="96" customWidth="1"/>
    <col min="22" max="22" width="6.5703125" style="96" customWidth="1"/>
    <col min="23" max="23" width="6.85546875" style="96" customWidth="1"/>
    <col min="24" max="24" width="9.42578125" style="96" customWidth="1"/>
    <col min="25" max="25" width="11.28515625" style="96" customWidth="1"/>
    <col min="26" max="26" width="5.7109375" style="96" customWidth="1"/>
    <col min="27" max="27" width="14" style="96" customWidth="1"/>
    <col min="28" max="28" width="6.85546875" style="96" customWidth="1"/>
    <col min="29" max="29" width="14.5703125" style="96" customWidth="1"/>
    <col min="30" max="32" width="17.5703125" style="96" customWidth="1"/>
    <col min="33" max="33" width="8.42578125" style="96" customWidth="1"/>
    <col min="34" max="34" width="14.42578125" style="96" customWidth="1"/>
    <col min="35" max="35" width="10.42578125" style="96" customWidth="1"/>
    <col min="36" max="36" width="9.5703125" style="96" customWidth="1"/>
    <col min="37" max="37" width="9.42578125" style="96" customWidth="1"/>
    <col min="38" max="42" width="4.28515625" style="96" customWidth="1"/>
    <col min="43" max="43" width="3.7109375" style="96" customWidth="1"/>
    <col min="44" max="48" width="4.28515625" style="96" customWidth="1"/>
    <col min="49" max="49" width="3.140625" style="96" customWidth="1"/>
    <col min="50" max="53" width="4" style="96" customWidth="1"/>
    <col min="54" max="54" width="4.28515625" style="96" customWidth="1"/>
    <col min="55" max="55" width="10.85546875" style="96" customWidth="1"/>
    <col min="56" max="56" width="26.7109375" style="96" customWidth="1"/>
    <col min="57" max="57" width="5.85546875" style="96" customWidth="1"/>
    <col min="58" max="58" width="6.7109375" style="96" customWidth="1"/>
    <col min="59" max="59" width="26.7109375" style="96" customWidth="1"/>
    <col min="60" max="60" width="6.5703125" style="96" customWidth="1"/>
    <col min="61" max="61" width="6.7109375" style="96" customWidth="1"/>
    <col min="62" max="62" width="26.7109375" style="96" customWidth="1"/>
    <col min="63" max="63" width="5.7109375" style="96" customWidth="1"/>
    <col min="64" max="64" width="9.140625" style="96" customWidth="1"/>
    <col min="65" max="65" width="4.42578125" style="96" customWidth="1"/>
    <col min="66" max="66" width="10.28515625" style="96" customWidth="1"/>
    <col min="67" max="67" width="13.28515625" style="96" customWidth="1"/>
    <col min="68" max="68" width="12.7109375" style="96" customWidth="1"/>
    <col min="69" max="69" width="10.140625" style="96" customWidth="1"/>
    <col min="70" max="70" width="9" style="96" customWidth="1"/>
    <col min="71" max="71" width="15.140625" style="96" bestFit="1" customWidth="1"/>
    <col min="72" max="72" width="9.140625" style="96" customWidth="1"/>
    <col min="73" max="73" width="10.140625" style="96" customWidth="1"/>
    <col min="74" max="74" width="9.140625" style="96"/>
    <col min="75" max="75" width="30.7109375" style="96" bestFit="1" customWidth="1"/>
    <col min="76" max="76" width="14.7109375" style="96" bestFit="1" customWidth="1"/>
    <col min="77" max="78" width="9.140625" style="96"/>
    <col min="79" max="79" width="20.85546875" style="96" bestFit="1" customWidth="1"/>
    <col min="80" max="80" width="11.28515625" style="96" bestFit="1" customWidth="1"/>
    <col min="81" max="81" width="8.7109375" style="96" bestFit="1" customWidth="1"/>
    <col min="82" max="82" width="12.7109375" style="96" bestFit="1" customWidth="1"/>
    <col min="83" max="83" width="9.140625" style="96"/>
    <col min="84" max="84" width="14.28515625" style="96" bestFit="1" customWidth="1"/>
    <col min="85" max="85" width="9.140625" style="96"/>
    <col min="86" max="86" width="12.28515625" style="96" customWidth="1"/>
    <col min="87" max="16384" width="9.140625" style="96"/>
  </cols>
  <sheetData>
    <row r="1" spans="1:89" x14ac:dyDescent="0.25">
      <c r="B1" s="675">
        <v>1</v>
      </c>
      <c r="C1" s="675">
        <v>2</v>
      </c>
      <c r="D1" s="675">
        <v>3</v>
      </c>
      <c r="E1" s="675">
        <v>4</v>
      </c>
      <c r="F1" s="675">
        <v>5</v>
      </c>
      <c r="G1" s="675">
        <v>6</v>
      </c>
      <c r="H1" s="675">
        <v>7</v>
      </c>
      <c r="I1" s="675">
        <v>8</v>
      </c>
      <c r="J1" s="675">
        <v>9</v>
      </c>
      <c r="K1" s="675">
        <v>10</v>
      </c>
      <c r="L1" s="675">
        <v>11</v>
      </c>
      <c r="M1" s="675">
        <v>12</v>
      </c>
      <c r="N1" s="675">
        <v>13</v>
      </c>
      <c r="O1" s="675">
        <v>14</v>
      </c>
      <c r="P1" s="675">
        <v>15</v>
      </c>
      <c r="Q1" s="675">
        <v>16</v>
      </c>
      <c r="R1" s="675">
        <v>17</v>
      </c>
      <c r="S1" s="675">
        <v>18</v>
      </c>
      <c r="T1" s="675">
        <v>19</v>
      </c>
      <c r="U1" s="675">
        <v>20</v>
      </c>
      <c r="V1" s="675">
        <v>21</v>
      </c>
      <c r="W1" s="675">
        <v>22</v>
      </c>
      <c r="X1" s="675">
        <v>23</v>
      </c>
      <c r="Y1" s="675">
        <v>24</v>
      </c>
      <c r="Z1" s="675">
        <v>25</v>
      </c>
      <c r="AA1" s="675">
        <v>26</v>
      </c>
      <c r="AB1" s="675">
        <v>27</v>
      </c>
      <c r="AC1" s="675">
        <v>28</v>
      </c>
      <c r="AD1" s="675">
        <v>29</v>
      </c>
      <c r="AE1" s="675">
        <v>30</v>
      </c>
      <c r="AF1" s="675">
        <v>31</v>
      </c>
      <c r="AG1" s="675">
        <v>32</v>
      </c>
      <c r="AH1" s="675">
        <v>33</v>
      </c>
      <c r="AI1" s="675">
        <v>34</v>
      </c>
      <c r="AJ1" s="675">
        <v>35</v>
      </c>
      <c r="AK1" s="675">
        <v>36</v>
      </c>
      <c r="AL1" s="675">
        <v>37</v>
      </c>
      <c r="AM1" s="675">
        <v>38</v>
      </c>
      <c r="AN1" s="675">
        <v>39</v>
      </c>
      <c r="AO1" s="675">
        <v>40</v>
      </c>
      <c r="AP1" s="675">
        <v>41</v>
      </c>
      <c r="AQ1" s="675">
        <v>42</v>
      </c>
      <c r="AR1" s="675">
        <v>43</v>
      </c>
      <c r="AS1" s="675">
        <v>44</v>
      </c>
      <c r="AT1" s="675">
        <v>45</v>
      </c>
      <c r="AU1" s="675">
        <v>46</v>
      </c>
      <c r="AV1" s="675">
        <v>47</v>
      </c>
      <c r="AW1" s="675">
        <v>48</v>
      </c>
      <c r="AX1" s="675">
        <v>49</v>
      </c>
      <c r="AY1" s="675">
        <v>50</v>
      </c>
      <c r="AZ1" s="675">
        <v>51</v>
      </c>
      <c r="BA1" s="675">
        <v>52</v>
      </c>
      <c r="BB1" s="675">
        <v>53</v>
      </c>
      <c r="BC1" s="675">
        <v>54</v>
      </c>
      <c r="BD1" s="675">
        <v>55</v>
      </c>
      <c r="BE1" s="675">
        <v>56</v>
      </c>
      <c r="BF1" s="675">
        <v>57</v>
      </c>
      <c r="BG1" s="675">
        <v>58</v>
      </c>
      <c r="BH1" s="675">
        <v>59</v>
      </c>
      <c r="BI1" s="675">
        <v>60</v>
      </c>
      <c r="BJ1" s="675">
        <v>61</v>
      </c>
      <c r="BK1" s="675">
        <v>62</v>
      </c>
    </row>
    <row r="2" spans="1:89" x14ac:dyDescent="0.25">
      <c r="C2" s="96">
        <v>1</v>
      </c>
      <c r="D2" s="96">
        <v>2</v>
      </c>
      <c r="E2" s="774">
        <v>3</v>
      </c>
      <c r="F2" s="774">
        <v>4</v>
      </c>
      <c r="G2" s="774">
        <v>5</v>
      </c>
      <c r="H2" s="774">
        <v>6</v>
      </c>
      <c r="I2" s="774">
        <v>7</v>
      </c>
      <c r="J2" s="774">
        <v>8</v>
      </c>
      <c r="K2" s="774">
        <v>9</v>
      </c>
      <c r="L2" s="774">
        <v>10</v>
      </c>
      <c r="M2" s="774">
        <v>11</v>
      </c>
      <c r="N2" s="774">
        <v>12</v>
      </c>
      <c r="O2" s="774">
        <v>13</v>
      </c>
      <c r="P2" s="774">
        <v>14</v>
      </c>
      <c r="Q2" s="774">
        <v>15</v>
      </c>
      <c r="R2" s="774">
        <v>16</v>
      </c>
      <c r="S2" s="774">
        <v>17</v>
      </c>
      <c r="T2" s="774">
        <v>18</v>
      </c>
      <c r="U2" s="774">
        <v>19</v>
      </c>
      <c r="V2" s="774">
        <v>20</v>
      </c>
      <c r="W2" s="774">
        <v>21</v>
      </c>
      <c r="X2" s="774">
        <v>22</v>
      </c>
      <c r="Y2" s="774">
        <v>23</v>
      </c>
      <c r="Z2" s="774">
        <v>24</v>
      </c>
      <c r="AA2" s="774">
        <v>25</v>
      </c>
      <c r="AB2" s="774">
        <v>26</v>
      </c>
      <c r="AC2" s="774">
        <v>27</v>
      </c>
      <c r="AD2" s="774">
        <v>28</v>
      </c>
      <c r="AE2" s="774">
        <v>29</v>
      </c>
      <c r="AF2" s="774">
        <v>30</v>
      </c>
      <c r="AG2" s="774">
        <v>31</v>
      </c>
      <c r="AH2" s="774">
        <v>32</v>
      </c>
      <c r="AI2" s="774">
        <v>33</v>
      </c>
      <c r="AJ2" s="774">
        <v>34</v>
      </c>
      <c r="AK2" s="774">
        <v>35</v>
      </c>
      <c r="AL2" s="774">
        <v>36</v>
      </c>
      <c r="AM2" s="774">
        <v>37</v>
      </c>
      <c r="AN2" s="774">
        <v>38</v>
      </c>
      <c r="AO2" s="774">
        <v>39</v>
      </c>
      <c r="AP2" s="774">
        <v>40</v>
      </c>
      <c r="AQ2" s="774">
        <v>41</v>
      </c>
      <c r="AR2" s="774">
        <v>42</v>
      </c>
      <c r="AS2" s="774">
        <v>43</v>
      </c>
      <c r="AT2" s="774">
        <v>44</v>
      </c>
      <c r="AU2" s="774">
        <v>45</v>
      </c>
      <c r="AV2" s="774">
        <v>46</v>
      </c>
      <c r="AW2" s="774">
        <v>47</v>
      </c>
      <c r="AX2" s="774">
        <v>48</v>
      </c>
      <c r="AY2" s="774">
        <v>49</v>
      </c>
      <c r="AZ2" s="774">
        <v>50</v>
      </c>
      <c r="BA2" s="774">
        <v>51</v>
      </c>
      <c r="BB2" s="774">
        <v>52</v>
      </c>
      <c r="BC2" s="774">
        <v>53</v>
      </c>
      <c r="BD2" s="774">
        <v>54</v>
      </c>
      <c r="BE2" s="774">
        <v>55</v>
      </c>
      <c r="BF2" s="774">
        <v>56</v>
      </c>
      <c r="BG2" s="774">
        <v>57</v>
      </c>
      <c r="BH2" s="774">
        <v>58</v>
      </c>
      <c r="BI2" s="774">
        <v>59</v>
      </c>
      <c r="BJ2" s="774">
        <v>60</v>
      </c>
      <c r="BK2" s="774">
        <v>61</v>
      </c>
    </row>
    <row r="3" spans="1:89" ht="15.75" thickBot="1" x14ac:dyDescent="0.3">
      <c r="A3" s="137" t="s">
        <v>89</v>
      </c>
      <c r="B3" s="137"/>
      <c r="C3" s="137"/>
      <c r="D3" s="137"/>
      <c r="E3" s="775"/>
      <c r="F3" s="775"/>
      <c r="G3" s="775"/>
      <c r="H3" s="775"/>
      <c r="I3" s="775"/>
      <c r="J3" s="775"/>
      <c r="K3" s="775"/>
      <c r="L3" s="775"/>
      <c r="M3" s="775"/>
      <c r="N3" s="775"/>
      <c r="O3" s="775"/>
      <c r="P3" s="775"/>
      <c r="Q3" s="775"/>
      <c r="X3" s="96" t="s">
        <v>37</v>
      </c>
    </row>
    <row r="4" spans="1:89" ht="15.75" thickBot="1" x14ac:dyDescent="0.3">
      <c r="F4" s="774" t="s">
        <v>406</v>
      </c>
      <c r="X4" s="137" t="str">
        <f>ADPT</f>
        <v>New Construction (fully fitted)</v>
      </c>
      <c r="BW4" s="686" t="s">
        <v>425</v>
      </c>
      <c r="BX4" s="687" t="s">
        <v>411</v>
      </c>
      <c r="BZ4" s="681" t="s">
        <v>431</v>
      </c>
      <c r="CA4" s="96">
        <v>0</v>
      </c>
      <c r="CB4" s="96" t="s">
        <v>14</v>
      </c>
    </row>
    <row r="5" spans="1:89" ht="15.75" thickBot="1" x14ac:dyDescent="0.3">
      <c r="D5" s="138" t="s">
        <v>102</v>
      </c>
      <c r="F5" s="774" t="s">
        <v>407</v>
      </c>
      <c r="G5" s="776"/>
      <c r="Q5" s="777"/>
      <c r="X5" s="96" t="str">
        <f>'Assessment Details'!Q12</f>
        <v>New Construction (shell and core)</v>
      </c>
      <c r="AA5" s="345" t="s">
        <v>337</v>
      </c>
      <c r="AB5" s="346" t="str">
        <f>'Manuell filtrering og justering'!I2</f>
        <v>No</v>
      </c>
      <c r="BW5" s="256" t="str">
        <f>'Pre-Assessment Estimator'!AJ4</f>
        <v>Nei</v>
      </c>
      <c r="BX5" s="241" t="str">
        <f>'Pre-Assessment Estimator'!AJ8</f>
        <v>Ja</v>
      </c>
      <c r="BZ5" s="688" t="s">
        <v>433</v>
      </c>
      <c r="CA5" s="96">
        <v>1</v>
      </c>
    </row>
    <row r="6" spans="1:89" ht="15.75" thickBot="1" x14ac:dyDescent="0.3">
      <c r="D6" s="140" t="str">
        <f>ADBT0</f>
        <v>Office</v>
      </c>
      <c r="F6" s="774" t="s">
        <v>15</v>
      </c>
      <c r="X6" s="96" t="str">
        <f>ADPT02</f>
        <v>New Construction (shell only)</v>
      </c>
      <c r="BB6" s="141"/>
    </row>
    <row r="7" spans="1:89" ht="15.75" thickBot="1" x14ac:dyDescent="0.3">
      <c r="E7" s="966" t="s">
        <v>884</v>
      </c>
      <c r="AD7" s="1281" t="s">
        <v>84</v>
      </c>
      <c r="AE7" s="1281"/>
      <c r="AF7" s="1281"/>
      <c r="BB7" s="141"/>
    </row>
    <row r="8" spans="1:89" ht="51" customHeight="1" thickBot="1" x14ac:dyDescent="0.3">
      <c r="C8" s="142" t="s">
        <v>101</v>
      </c>
      <c r="D8" s="143" t="s">
        <v>88</v>
      </c>
      <c r="E8" s="1285" t="s">
        <v>540</v>
      </c>
      <c r="F8" s="1286"/>
      <c r="G8" s="1286"/>
      <c r="H8" s="1286"/>
      <c r="I8" s="1286"/>
      <c r="J8" s="1286"/>
      <c r="K8" s="1286"/>
      <c r="L8" s="1286"/>
      <c r="M8" s="1286"/>
      <c r="N8" s="1286"/>
      <c r="O8" s="1286"/>
      <c r="P8" s="1286"/>
      <c r="Q8" s="1286"/>
      <c r="S8" s="57" t="s">
        <v>230</v>
      </c>
      <c r="T8" s="1287" t="s">
        <v>231</v>
      </c>
      <c r="U8" s="1288"/>
      <c r="V8" s="1288"/>
      <c r="W8" s="1288"/>
      <c r="X8" s="1288"/>
      <c r="Y8" s="1289"/>
      <c r="Z8" s="144" t="s">
        <v>216</v>
      </c>
      <c r="AA8" s="59" t="s">
        <v>16</v>
      </c>
      <c r="AC8" s="940" t="s">
        <v>83</v>
      </c>
      <c r="AD8" s="941" t="s">
        <v>232</v>
      </c>
      <c r="AE8" s="941" t="s">
        <v>233</v>
      </c>
      <c r="AF8" s="941" t="s">
        <v>234</v>
      </c>
      <c r="AH8" s="59" t="s">
        <v>232</v>
      </c>
      <c r="AI8" s="59" t="s">
        <v>233</v>
      </c>
      <c r="AJ8" s="59" t="s">
        <v>234</v>
      </c>
      <c r="AL8" s="1290" t="s">
        <v>239</v>
      </c>
      <c r="AM8" s="1291"/>
      <c r="AN8" s="1291"/>
      <c r="AO8" s="1291"/>
      <c r="AP8" s="1292"/>
      <c r="AR8" s="1290" t="s">
        <v>10</v>
      </c>
      <c r="AS8" s="1291"/>
      <c r="AT8" s="1291"/>
      <c r="AU8" s="1291"/>
      <c r="AV8" s="1292"/>
      <c r="AX8" s="1290" t="str">
        <f>"Chosen "&amp;D6</f>
        <v>Chosen Office</v>
      </c>
      <c r="AY8" s="1291"/>
      <c r="AZ8" s="1291"/>
      <c r="BA8" s="1291"/>
      <c r="BB8" s="1291"/>
      <c r="BC8" s="1299" t="s">
        <v>232</v>
      </c>
      <c r="BD8" s="1300"/>
      <c r="BE8" s="1300"/>
      <c r="BF8" s="1301" t="s">
        <v>233</v>
      </c>
      <c r="BG8" s="1297"/>
      <c r="BH8" s="1298"/>
      <c r="BI8" s="1296" t="s">
        <v>234</v>
      </c>
      <c r="BJ8" s="1297"/>
      <c r="BK8" s="1298"/>
      <c r="BN8" s="1293" t="s">
        <v>984</v>
      </c>
      <c r="BO8" s="1294"/>
      <c r="BP8" s="1295"/>
      <c r="BQ8" s="1159"/>
      <c r="BR8" s="1159"/>
      <c r="BS8" s="1159"/>
      <c r="BV8" s="251" t="s">
        <v>426</v>
      </c>
      <c r="BW8" s="251"/>
      <c r="BX8" s="251"/>
      <c r="BY8" s="251"/>
      <c r="BZ8" s="251"/>
      <c r="CA8" s="251"/>
      <c r="CB8" s="690" t="s">
        <v>436</v>
      </c>
      <c r="CC8" s="690" t="s">
        <v>438</v>
      </c>
      <c r="CD8" s="251" t="s">
        <v>435</v>
      </c>
      <c r="CE8" s="251"/>
      <c r="CF8" s="251"/>
      <c r="CG8" s="251"/>
      <c r="CH8" s="694" t="s">
        <v>460</v>
      </c>
      <c r="CI8" s="251"/>
      <c r="CJ8" s="251"/>
      <c r="CK8" s="251"/>
    </row>
    <row r="9" spans="1:89" ht="58.5" customHeight="1" thickBot="1" x14ac:dyDescent="0.3">
      <c r="A9" s="96">
        <v>1</v>
      </c>
      <c r="C9" s="151"/>
      <c r="D9" s="152" t="s">
        <v>64</v>
      </c>
      <c r="E9" s="870" t="str">
        <f>ADBT2</f>
        <v>Office</v>
      </c>
      <c r="F9" s="870" t="str">
        <f>ADBT3</f>
        <v>Retail</v>
      </c>
      <c r="G9" s="870" t="str">
        <f>ADBT12</f>
        <v>Residential</v>
      </c>
      <c r="H9" s="870" t="str">
        <f>ADBT1</f>
        <v>Industrial</v>
      </c>
      <c r="I9" s="932" t="str">
        <f>ADBT13</f>
        <v>Healthcare</v>
      </c>
      <c r="J9" s="932" t="str">
        <f>ADBT14</f>
        <v>Prison</v>
      </c>
      <c r="K9" s="932" t="str">
        <f>ADBT15</f>
        <v>Law Court</v>
      </c>
      <c r="L9" s="1183" t="str">
        <f>ADBT16</f>
        <v>Residential institution (long term stay)</v>
      </c>
      <c r="M9" s="1183" t="str">
        <f>ADBT17</f>
        <v>Residential institution (short term stay)</v>
      </c>
      <c r="N9" s="932" t="str">
        <f>ADBT18</f>
        <v>Non-residential institution</v>
      </c>
      <c r="O9" s="932" t="str">
        <f>ADBT19</f>
        <v>Assembly and leisure</v>
      </c>
      <c r="P9" s="932" t="str">
        <f>ADBT8</f>
        <v>Education</v>
      </c>
      <c r="Q9" s="871" t="str">
        <f>ADBT20</f>
        <v>Other</v>
      </c>
      <c r="S9" s="147" t="str">
        <f>$D$6</f>
        <v>Office</v>
      </c>
      <c r="T9" s="148"/>
      <c r="U9" s="149"/>
      <c r="V9" s="149"/>
      <c r="W9" s="1179"/>
      <c r="X9" s="1194" t="s">
        <v>414</v>
      </c>
      <c r="Y9" s="1192" t="s">
        <v>337</v>
      </c>
      <c r="Z9" s="1187" t="s">
        <v>216</v>
      </c>
      <c r="AA9" s="1188"/>
      <c r="AH9" s="77"/>
      <c r="AI9" s="60"/>
      <c r="AJ9" s="60"/>
      <c r="AL9" s="151" t="s">
        <v>90</v>
      </c>
      <c r="AM9" s="152" t="s">
        <v>91</v>
      </c>
      <c r="AN9" s="152" t="s">
        <v>92</v>
      </c>
      <c r="AO9" s="152" t="s">
        <v>238</v>
      </c>
      <c r="AP9" s="153" t="s">
        <v>93</v>
      </c>
      <c r="AR9" s="145" t="s">
        <v>90</v>
      </c>
      <c r="AS9" s="146" t="s">
        <v>91</v>
      </c>
      <c r="AT9" s="146" t="s">
        <v>92</v>
      </c>
      <c r="AU9" s="146" t="s">
        <v>238</v>
      </c>
      <c r="AV9" s="154" t="s">
        <v>93</v>
      </c>
      <c r="AX9" s="145" t="s">
        <v>90</v>
      </c>
      <c r="AY9" s="146" t="s">
        <v>91</v>
      </c>
      <c r="AZ9" s="146" t="s">
        <v>92</v>
      </c>
      <c r="BA9" s="146" t="s">
        <v>238</v>
      </c>
      <c r="BB9" s="155" t="s">
        <v>93</v>
      </c>
      <c r="BC9" s="156" t="s">
        <v>240</v>
      </c>
      <c r="BD9" s="157" t="s">
        <v>53</v>
      </c>
      <c r="BE9" s="157"/>
      <c r="BF9" s="158" t="s">
        <v>240</v>
      </c>
      <c r="BG9" s="159" t="s">
        <v>53</v>
      </c>
      <c r="BH9" s="160"/>
      <c r="BI9" s="161" t="s">
        <v>240</v>
      </c>
      <c r="BJ9" s="159" t="s">
        <v>53</v>
      </c>
      <c r="BK9" s="162"/>
      <c r="BN9" s="690" t="s">
        <v>985</v>
      </c>
      <c r="BO9" s="690" t="s">
        <v>986</v>
      </c>
      <c r="BP9" s="1162" t="s">
        <v>987</v>
      </c>
      <c r="BQ9" s="1159" t="s">
        <v>988</v>
      </c>
      <c r="BR9" s="1159" t="s">
        <v>989</v>
      </c>
      <c r="BS9" s="1159" t="s">
        <v>990</v>
      </c>
      <c r="BV9" s="146"/>
      <c r="BW9" s="146" t="str">
        <f>D9</f>
        <v>Management</v>
      </c>
      <c r="BX9" s="146" t="s">
        <v>429</v>
      </c>
      <c r="BY9" s="146" t="s">
        <v>427</v>
      </c>
      <c r="BZ9" s="146" t="s">
        <v>437</v>
      </c>
      <c r="CA9" s="146" t="s">
        <v>434</v>
      </c>
      <c r="CF9" s="96" t="s">
        <v>430</v>
      </c>
    </row>
    <row r="10" spans="1:89" x14ac:dyDescent="0.25">
      <c r="A10" s="96">
        <v>2</v>
      </c>
      <c r="B10" s="137" t="str">
        <f>C10</f>
        <v>Man 01</v>
      </c>
      <c r="C10" s="845" t="s">
        <v>94</v>
      </c>
      <c r="D10" s="845" t="s">
        <v>308</v>
      </c>
      <c r="E10" s="947">
        <f>SUM(E11:E15)</f>
        <v>5</v>
      </c>
      <c r="F10" s="947">
        <f t="shared" ref="F10:Q10" si="0">SUM(F11:F15)</f>
        <v>5</v>
      </c>
      <c r="G10" s="947">
        <f t="shared" si="0"/>
        <v>5</v>
      </c>
      <c r="H10" s="947">
        <f t="shared" si="0"/>
        <v>5</v>
      </c>
      <c r="I10" s="947">
        <f t="shared" si="0"/>
        <v>5</v>
      </c>
      <c r="J10" s="947">
        <f t="shared" si="0"/>
        <v>5</v>
      </c>
      <c r="K10" s="947">
        <f t="shared" si="0"/>
        <v>5</v>
      </c>
      <c r="L10" s="947">
        <f t="shared" si="0"/>
        <v>5</v>
      </c>
      <c r="M10" s="947">
        <f t="shared" si="0"/>
        <v>5</v>
      </c>
      <c r="N10" s="947">
        <f t="shared" si="0"/>
        <v>5</v>
      </c>
      <c r="O10" s="947">
        <f t="shared" si="0"/>
        <v>5</v>
      </c>
      <c r="P10" s="947">
        <f t="shared" ref="P10" si="1">SUM(P11:P15)</f>
        <v>5</v>
      </c>
      <c r="Q10" s="947">
        <f t="shared" si="0"/>
        <v>5</v>
      </c>
      <c r="R10" s="675"/>
      <c r="S10" s="933">
        <f t="shared" ref="S10:S36" si="2">HLOOKUP($D$6,$E$9:$Q$231,$A10,FALSE)</f>
        <v>5</v>
      </c>
      <c r="T10" s="166"/>
      <c r="U10" s="167"/>
      <c r="V10" s="167"/>
      <c r="W10" s="168">
        <f>'Manuell filtrering og justering'!E7</f>
        <v>0</v>
      </c>
      <c r="X10" s="169"/>
      <c r="Y10" s="1193">
        <f t="shared" ref="Y10" si="3">SUM(Y11:Y15)</f>
        <v>6</v>
      </c>
      <c r="Z10" s="1185">
        <f t="shared" ref="Z10:Z35" si="4">IF(SUM(T10:X10)&gt;S10,S10,SUM(T10:X10))</f>
        <v>0</v>
      </c>
      <c r="AA10" s="1189">
        <f>SUM(AA11:AA15)</f>
        <v>5</v>
      </c>
      <c r="AC10" s="935">
        <f t="shared" ref="AC10:AC33" si="5">(Man_Weight/Man_Credits)*AA10</f>
        <v>3.0952380952380953E-2</v>
      </c>
      <c r="AD10" s="935">
        <f>SUM(AD11:AD15)</f>
        <v>0</v>
      </c>
      <c r="AE10" s="935">
        <f>SUM(AE11:AE15)</f>
        <v>0</v>
      </c>
      <c r="AF10" s="935">
        <f>SUM(AF11:AF15)</f>
        <v>0</v>
      </c>
      <c r="AH10" s="936">
        <f t="shared" ref="AH10:AJ10" si="6">SUM(AH11:AH15)</f>
        <v>0</v>
      </c>
      <c r="AI10" s="936">
        <f t="shared" si="6"/>
        <v>0</v>
      </c>
      <c r="AJ10" s="936">
        <f t="shared" si="6"/>
        <v>0</v>
      </c>
      <c r="AL10" s="173"/>
      <c r="AM10" s="290"/>
      <c r="AN10" s="290"/>
      <c r="AO10" s="181"/>
      <c r="AP10" s="186"/>
      <c r="AR10" s="291"/>
      <c r="AS10" s="181"/>
      <c r="AT10" s="181"/>
      <c r="AU10" s="181"/>
      <c r="AV10" s="186"/>
      <c r="AW10" s="141"/>
      <c r="AX10" s="174"/>
      <c r="AY10" s="175"/>
      <c r="AZ10" s="175"/>
      <c r="BA10" s="175"/>
      <c r="BB10" s="176"/>
      <c r="BC10" s="174">
        <f>IF(BB10=0,9,IF(AH10&gt;=BB10,5,IF(AH10&gt;=BA10,4,IF(AH10&gt;=AZ10,3,IF(AH10&gt;=AY10,2,IF(AH10&lt;AX10,0,1))))))</f>
        <v>9</v>
      </c>
      <c r="BD10" s="177" t="str">
        <f t="shared" ref="BD10:BD35" si="7">VLOOKUP(BC10,$BN$282:$BS$288,6,FALSE)</f>
        <v>N/A</v>
      </c>
      <c r="BE10" s="178"/>
      <c r="BF10" s="174">
        <f t="shared" ref="BF10:BF35" si="8">IF(BB10=0,9,IF(AI10&gt;=BB10,5,IF(AI10&gt;=BA10,4,IF(AI10&gt;=AZ10,3,IF(AI10&gt;=AY10,2,IF(AI10&lt;AX10,0,1))))))</f>
        <v>9</v>
      </c>
      <c r="BG10" s="177" t="str">
        <f t="shared" ref="BG10:BG35" si="9">VLOOKUP(BF10,$BN$282:$BS$288,6,FALSE)</f>
        <v>N/A</v>
      </c>
      <c r="BH10" s="178"/>
      <c r="BI10" s="174">
        <f>IF(BB10=0,9,IF(AJ10&gt;=BB10,5,IF(AJ10&gt;=BA10,4,IF(AJ10&gt;=AZ10,3,IF(AJ10&gt;=AY10,2,IF(AJ10&lt;AX10,0,1))))))</f>
        <v>9</v>
      </c>
      <c r="BJ10" s="177" t="str">
        <f t="shared" ref="BJ10:BJ35" si="10">VLOOKUP(BI10,$BN$282:$BS$288,6,FALSE)</f>
        <v>N/A</v>
      </c>
      <c r="BK10" s="178"/>
      <c r="BN10" s="167"/>
      <c r="BO10" s="167"/>
      <c r="BP10" s="167" t="str">
        <f>IF(BN10&lt;&gt;"",BN10,IF(BO10&lt;&gt;"",BO10,""))</f>
        <v/>
      </c>
      <c r="BQ10" s="167">
        <f>IF(BP10="",9,(IF(AH10&gt;=BP10,5,0)))</f>
        <v>9</v>
      </c>
      <c r="BR10" s="167">
        <f>IF(BP10="",9,(IF(AI10&gt;=BP10,5,0)))</f>
        <v>9</v>
      </c>
      <c r="BS10" s="167">
        <f>IF(BP10="",9,(IF(AJ10&gt;=BP10,5,0)))</f>
        <v>9</v>
      </c>
      <c r="BV10" s="684" t="str">
        <f>C10</f>
        <v>Man 01</v>
      </c>
      <c r="BW10" s="684" t="str">
        <f>IFERROR(VLOOKUP($D10,'Pre-Assessment Estimator'!$E$11:$AB$224,'Pre-Assessment Estimator'!AB$2,FALSE),"")</f>
        <v>No</v>
      </c>
      <c r="BX10" s="288">
        <f>IFERROR(VLOOKUP($D10,'Pre-Assessment Estimator'!$E$11:$AI$224,'Pre-Assessment Estimator'!AI$2,FALSE),"")</f>
        <v>0</v>
      </c>
      <c r="BY10" s="288">
        <f>IFERROR(VLOOKUP($BW10,$D$291:$G$324,E$289,FALSE),"")</f>
        <v>1</v>
      </c>
      <c r="BZ10" s="288">
        <f>IFERROR(VLOOKUP($BW10,$D$291:$G$324,F$289,FALSE),"")</f>
        <v>0</v>
      </c>
      <c r="CA10" s="288"/>
      <c r="CB10" s="96" t="str">
        <f>IFERROR(VLOOKUP($BW10,$D$291:$G$324,H$289,FALSE),"")</f>
        <v/>
      </c>
    </row>
    <row r="11" spans="1:89" x14ac:dyDescent="0.25">
      <c r="A11" s="96">
        <v>3</v>
      </c>
      <c r="B11" s="96" t="str">
        <f t="shared" ref="B11:B15" si="11">$C$10&amp;C11</f>
        <v>Man 01a</v>
      </c>
      <c r="C11" s="167" t="s">
        <v>696</v>
      </c>
      <c r="D11" s="1122" t="s">
        <v>593</v>
      </c>
      <c r="E11" s="788">
        <v>1</v>
      </c>
      <c r="F11" s="788">
        <v>1</v>
      </c>
      <c r="G11" s="788">
        <v>1</v>
      </c>
      <c r="H11" s="788">
        <v>1</v>
      </c>
      <c r="I11" s="788">
        <v>1</v>
      </c>
      <c r="J11" s="788">
        <v>1</v>
      </c>
      <c r="K11" s="788">
        <v>1</v>
      </c>
      <c r="L11" s="788">
        <v>1</v>
      </c>
      <c r="M11" s="788">
        <v>1</v>
      </c>
      <c r="N11" s="788">
        <v>1</v>
      </c>
      <c r="O11" s="788">
        <v>1</v>
      </c>
      <c r="P11" s="788">
        <v>1</v>
      </c>
      <c r="Q11" s="788">
        <v>1</v>
      </c>
      <c r="R11" s="675"/>
      <c r="S11" s="165">
        <f t="shared" si="2"/>
        <v>1</v>
      </c>
      <c r="T11" s="166"/>
      <c r="U11" s="167"/>
      <c r="V11" s="167"/>
      <c r="W11" s="168"/>
      <c r="X11" s="169"/>
      <c r="Y11" s="1175">
        <f>VLOOKUP(B11,'Manuell filtrering og justering'!$A$7:$H$107,'Manuell filtrering og justering'!$H$1,FALSE)</f>
        <v>1</v>
      </c>
      <c r="Z11" s="1185">
        <f t="shared" si="4"/>
        <v>0</v>
      </c>
      <c r="AA11" s="185">
        <f>IF($AB$5='Manuell filtrering og justering'!$J$2,Y11,(S11-Z11))</f>
        <v>1</v>
      </c>
      <c r="AC11" s="171">
        <f t="shared" si="5"/>
        <v>6.1904761904761907E-3</v>
      </c>
      <c r="AD11" s="171">
        <f>IF(AA11=0,0,(AC11/AA11)*AH11)</f>
        <v>0</v>
      </c>
      <c r="AE11" s="171">
        <f>IF(AA11=0,0,(AC11/AA11)*AI11)</f>
        <v>0</v>
      </c>
      <c r="AF11" s="171">
        <f>IF(AA11=0,0,(AC11/AA11)*AJ11)</f>
        <v>0</v>
      </c>
      <c r="AH11" s="172">
        <f>IF(VLOOKUP(D11,'Pre-Assessment Estimator'!$E$11:$Z$224,'Pre-Assessment Estimator'!$G$2,FALSE)&gt;AA11,AA11,VLOOKUP(D11,'Pre-Assessment Estimator'!$E$11:$Z$224,'Pre-Assessment Estimator'!$G$2,FALSE))</f>
        <v>0</v>
      </c>
      <c r="AI11" s="172">
        <f>IF(VLOOKUP(D11,'Pre-Assessment Estimator'!$E$11:$Z$224,'Pre-Assessment Estimator'!$N$2,FALSE)&gt;AA11,AA11,VLOOKUP(D11,'Pre-Assessment Estimator'!$E$11:$Z$224,'Pre-Assessment Estimator'!$N$2,FALSE))</f>
        <v>0</v>
      </c>
      <c r="AJ11" s="172">
        <f>IF(VLOOKUP(D11,'Pre-Assessment Estimator'!$E$11:$Z$224,'Pre-Assessment Estimator'!$U$2,FALSE)&gt;AA11,AA11,VLOOKUP(D11,'Pre-Assessment Estimator'!$E$11:$Z$224,'Pre-Assessment Estimator'!$U$2,FALSE))</f>
        <v>0</v>
      </c>
      <c r="AL11" s="839"/>
      <c r="AM11" s="840"/>
      <c r="AN11" s="840"/>
      <c r="AO11" s="181">
        <v>1</v>
      </c>
      <c r="AP11" s="186">
        <v>1</v>
      </c>
      <c r="AR11" s="291"/>
      <c r="AS11" s="181"/>
      <c r="AT11" s="181"/>
      <c r="AU11" s="181">
        <v>1</v>
      </c>
      <c r="AV11" s="186">
        <v>1</v>
      </c>
      <c r="AW11" s="141"/>
      <c r="AX11" s="841"/>
      <c r="AY11" s="842"/>
      <c r="AZ11" s="842"/>
      <c r="BA11" s="183">
        <f>IF($D$6=$G$9,AU11,AO11)</f>
        <v>1</v>
      </c>
      <c r="BB11" s="183">
        <f>IF($D$6=$G$9,AV11,AP11)</f>
        <v>1</v>
      </c>
      <c r="BC11" s="182">
        <f t="shared" ref="BC11:BC15" si="12">IF(BB11=0,9,IF(AH11&gt;=BB11,5,IF(AH11&gt;=BA11,4,IF(AH11&gt;=AZ11,3,IF(AH11&gt;=AY11,2,IF(AH11&lt;AX11,0,1))))))</f>
        <v>3</v>
      </c>
      <c r="BD11" s="164" t="str">
        <f t="shared" si="7"/>
        <v>Very Good</v>
      </c>
      <c r="BE11" s="185"/>
      <c r="BF11" s="182">
        <f t="shared" ref="BF11:BF15" si="13">IF(BB11=0,9,IF(AI11&gt;=BB11,5,IF(AI11&gt;=BA11,4,IF(AI11&gt;=AZ11,3,IF(AI11&gt;=AY11,2,IF(AI11&lt;AX11,0,1))))))</f>
        <v>3</v>
      </c>
      <c r="BG11" s="164" t="str">
        <f t="shared" si="9"/>
        <v>Very Good</v>
      </c>
      <c r="BH11" s="185"/>
      <c r="BI11" s="182">
        <f t="shared" ref="BI11:BI15" si="14">IF(BB11=0,9,IF(AJ11&gt;=BB11,5,IF(AJ11&gt;=BA11,4,IF(AJ11&gt;=AZ11,3,IF(AJ11&gt;=AY11,2,IF(AJ11&lt;AX11,0,1))))))</f>
        <v>3</v>
      </c>
      <c r="BJ11" s="164" t="str">
        <f t="shared" si="10"/>
        <v>Very Good</v>
      </c>
      <c r="BK11" s="843"/>
      <c r="BN11" s="167"/>
      <c r="BO11" s="167"/>
      <c r="BP11" s="167" t="str">
        <f t="shared" ref="BP11:BP74" si="15">IF(BN11&lt;&gt;"",BN11,IF(BO11&lt;&gt;"",BO11,""))</f>
        <v/>
      </c>
      <c r="BQ11" s="167">
        <f t="shared" ref="BQ11" si="16">IF(BP11="",9,(IF(AH11&gt;=BP11,5,0)))</f>
        <v>9</v>
      </c>
      <c r="BR11" s="167">
        <f t="shared" ref="BR11:BR30" si="17">IF(BP11="",9,(IF(AI11&gt;=BP11,5,0)))</f>
        <v>9</v>
      </c>
      <c r="BS11" s="167">
        <f t="shared" ref="BS11:BS30" si="18">IF(BP11="",9,(IF(AJ11&gt;=BP11,5,0)))</f>
        <v>9</v>
      </c>
      <c r="BV11" s="684"/>
      <c r="BW11" s="684"/>
      <c r="BX11" s="288"/>
      <c r="BY11" s="288"/>
      <c r="BZ11" s="288"/>
      <c r="CA11" s="288"/>
    </row>
    <row r="12" spans="1:89" x14ac:dyDescent="0.25">
      <c r="A12" s="96">
        <v>4</v>
      </c>
      <c r="B12" s="96" t="str">
        <f t="shared" si="11"/>
        <v>Man 01b</v>
      </c>
      <c r="C12" s="167" t="s">
        <v>699</v>
      </c>
      <c r="D12" s="1122" t="s">
        <v>592</v>
      </c>
      <c r="E12" s="788">
        <v>1</v>
      </c>
      <c r="F12" s="788">
        <v>1</v>
      </c>
      <c r="G12" s="788">
        <v>1</v>
      </c>
      <c r="H12" s="788">
        <v>1</v>
      </c>
      <c r="I12" s="788">
        <v>1</v>
      </c>
      <c r="J12" s="788">
        <v>1</v>
      </c>
      <c r="K12" s="788">
        <v>1</v>
      </c>
      <c r="L12" s="788">
        <v>1</v>
      </c>
      <c r="M12" s="788">
        <v>1</v>
      </c>
      <c r="N12" s="788">
        <v>1</v>
      </c>
      <c r="O12" s="788">
        <v>1</v>
      </c>
      <c r="P12" s="788">
        <v>1</v>
      </c>
      <c r="Q12" s="788">
        <v>1</v>
      </c>
      <c r="R12" s="675"/>
      <c r="S12" s="165">
        <f t="shared" si="2"/>
        <v>1</v>
      </c>
      <c r="T12" s="166"/>
      <c r="U12" s="167"/>
      <c r="V12" s="167"/>
      <c r="W12" s="168"/>
      <c r="X12" s="169"/>
      <c r="Y12" s="1175">
        <f>VLOOKUP(B12,'Manuell filtrering og justering'!$A$7:$H$107,'Manuell filtrering og justering'!$H$1,FALSE)</f>
        <v>1</v>
      </c>
      <c r="Z12" s="1185">
        <f t="shared" si="4"/>
        <v>0</v>
      </c>
      <c r="AA12" s="185">
        <f>IF($AB$5='Manuell filtrering og justering'!$J$2,Y12,(S12-Z12))</f>
        <v>1</v>
      </c>
      <c r="AC12" s="171">
        <f t="shared" si="5"/>
        <v>6.1904761904761907E-3</v>
      </c>
      <c r="AD12" s="171">
        <f>IF(AA12=0,0,(AC12/AA12)*AH12)</f>
        <v>0</v>
      </c>
      <c r="AE12" s="171">
        <f t="shared" ref="AE12:AE33" si="19">IF(AA12=0,0,(AC12/AA12)*AI12)</f>
        <v>0</v>
      </c>
      <c r="AF12" s="171">
        <f t="shared" ref="AF12:AF33" si="20">IF(AA12=0,0,(AC12/AA12)*AJ12)</f>
        <v>0</v>
      </c>
      <c r="AH12" s="172">
        <f>IF(VLOOKUP(D12,'Pre-Assessment Estimator'!$E$11:$Z$224,'Pre-Assessment Estimator'!$G$2,FALSE)&gt;AA12,AA12,VLOOKUP(D12,'Pre-Assessment Estimator'!$E$11:$Z$224,'Pre-Assessment Estimator'!$G$2,FALSE))</f>
        <v>0</v>
      </c>
      <c r="AI12" s="172">
        <f>IF(VLOOKUP(D12,'Pre-Assessment Estimator'!$E$11:$Z$224,'Pre-Assessment Estimator'!$N$2,FALSE)&gt;AA12,AA12,VLOOKUP(D12,'Pre-Assessment Estimator'!$E$11:$Z$224,'Pre-Assessment Estimator'!$N$2,FALSE))</f>
        <v>0</v>
      </c>
      <c r="AJ12" s="172">
        <f>IF(VLOOKUP(D12,'Pre-Assessment Estimator'!$E$11:$Z$224,'Pre-Assessment Estimator'!$U$2,FALSE)&gt;AA12,AA12,VLOOKUP(D12,'Pre-Assessment Estimator'!$E$11:$Z$224,'Pre-Assessment Estimator'!$U$2,FALSE))</f>
        <v>0</v>
      </c>
      <c r="AL12" s="839"/>
      <c r="AM12" s="840"/>
      <c r="AN12" s="840"/>
      <c r="AO12" s="181">
        <v>1</v>
      </c>
      <c r="AP12" s="186">
        <v>1</v>
      </c>
      <c r="AR12" s="291"/>
      <c r="AS12" s="181"/>
      <c r="AT12" s="181"/>
      <c r="AU12" s="181">
        <v>1</v>
      </c>
      <c r="AV12" s="186">
        <v>1</v>
      </c>
      <c r="AW12" s="141"/>
      <c r="AX12" s="841"/>
      <c r="AY12" s="842"/>
      <c r="AZ12" s="842"/>
      <c r="BA12" s="183">
        <f>IF($D$6=$G$9,AU12,AO12)</f>
        <v>1</v>
      </c>
      <c r="BB12" s="183">
        <f>IF($D$6=$G$9,AV12,AP12)</f>
        <v>1</v>
      </c>
      <c r="BC12" s="182">
        <f t="shared" si="12"/>
        <v>3</v>
      </c>
      <c r="BD12" s="164" t="str">
        <f t="shared" si="7"/>
        <v>Very Good</v>
      </c>
      <c r="BE12" s="185"/>
      <c r="BF12" s="182">
        <f t="shared" si="13"/>
        <v>3</v>
      </c>
      <c r="BG12" s="164" t="str">
        <f t="shared" si="9"/>
        <v>Very Good</v>
      </c>
      <c r="BH12" s="185"/>
      <c r="BI12" s="182">
        <f t="shared" si="14"/>
        <v>3</v>
      </c>
      <c r="BJ12" s="164" t="str">
        <f t="shared" si="10"/>
        <v>Very Good</v>
      </c>
      <c r="BK12" s="843"/>
      <c r="BN12" s="167">
        <v>1</v>
      </c>
      <c r="BO12" s="167"/>
      <c r="BP12" s="167">
        <f t="shared" si="15"/>
        <v>1</v>
      </c>
      <c r="BQ12" s="167">
        <f>IF(BP12="",9,(IF(AH12&gt;=BP12,5,0)))</f>
        <v>0</v>
      </c>
      <c r="BR12" s="167">
        <f t="shared" si="17"/>
        <v>0</v>
      </c>
      <c r="BS12" s="167">
        <f t="shared" si="18"/>
        <v>0</v>
      </c>
      <c r="BV12" s="684"/>
      <c r="BW12" s="684"/>
      <c r="BX12" s="288"/>
      <c r="BY12" s="288"/>
      <c r="BZ12" s="288"/>
      <c r="CA12" s="288"/>
    </row>
    <row r="13" spans="1:89" x14ac:dyDescent="0.25">
      <c r="A13" s="96">
        <v>5</v>
      </c>
      <c r="B13" s="96" t="str">
        <f t="shared" si="11"/>
        <v>Man 01c</v>
      </c>
      <c r="C13" s="167" t="s">
        <v>700</v>
      </c>
      <c r="D13" s="1122" t="s">
        <v>589</v>
      </c>
      <c r="E13" s="788">
        <v>1</v>
      </c>
      <c r="F13" s="788">
        <v>1</v>
      </c>
      <c r="G13" s="788">
        <v>1</v>
      </c>
      <c r="H13" s="788">
        <v>1</v>
      </c>
      <c r="I13" s="788">
        <v>1</v>
      </c>
      <c r="J13" s="788">
        <v>1</v>
      </c>
      <c r="K13" s="788">
        <v>1</v>
      </c>
      <c r="L13" s="788">
        <v>1</v>
      </c>
      <c r="M13" s="788">
        <v>1</v>
      </c>
      <c r="N13" s="788">
        <v>1</v>
      </c>
      <c r="O13" s="788">
        <v>1</v>
      </c>
      <c r="P13" s="788">
        <v>1</v>
      </c>
      <c r="Q13" s="788">
        <v>1</v>
      </c>
      <c r="R13" s="675"/>
      <c r="S13" s="165">
        <f t="shared" si="2"/>
        <v>1</v>
      </c>
      <c r="T13" s="166"/>
      <c r="U13" s="167"/>
      <c r="V13" s="167"/>
      <c r="W13" s="168"/>
      <c r="X13" s="169"/>
      <c r="Y13" s="1175">
        <f>VLOOKUP(B13,'Manuell filtrering og justering'!$A$7:$H$107,'Manuell filtrering og justering'!$H$1,FALSE)</f>
        <v>1</v>
      </c>
      <c r="Z13" s="1185">
        <f t="shared" si="4"/>
        <v>0</v>
      </c>
      <c r="AA13" s="185">
        <f>IF($AB$5='Manuell filtrering og justering'!$J$2,Y13,(S13-Z13))</f>
        <v>1</v>
      </c>
      <c r="AC13" s="171">
        <f t="shared" si="5"/>
        <v>6.1904761904761907E-3</v>
      </c>
      <c r="AD13" s="171">
        <f>IF(AA13=0,0,(AC13/AA13)*AH13)</f>
        <v>0</v>
      </c>
      <c r="AE13" s="171">
        <f t="shared" si="19"/>
        <v>0</v>
      </c>
      <c r="AF13" s="171">
        <f t="shared" si="20"/>
        <v>0</v>
      </c>
      <c r="AH13" s="172">
        <f>IF(VLOOKUP(D13,'Pre-Assessment Estimator'!$E$11:$Z$224,'Pre-Assessment Estimator'!$G$2,FALSE)&gt;AA13,AA13,VLOOKUP(D13,'Pre-Assessment Estimator'!$E$11:$Z$224,'Pre-Assessment Estimator'!$G$2,FALSE))</f>
        <v>0</v>
      </c>
      <c r="AI13" s="172">
        <f>IF(VLOOKUP(D13,'Pre-Assessment Estimator'!$E$11:$Z$224,'Pre-Assessment Estimator'!$N$2,FALSE)&gt;AA13,AA13,VLOOKUP(D13,'Pre-Assessment Estimator'!$E$11:$Z$224,'Pre-Assessment Estimator'!$N$2,FALSE))</f>
        <v>0</v>
      </c>
      <c r="AJ13" s="172">
        <f>IF(VLOOKUP(D13,'Pre-Assessment Estimator'!$E$11:$Z$224,'Pre-Assessment Estimator'!$U$2,FALSE)&gt;AA13,AA13,VLOOKUP(D13,'Pre-Assessment Estimator'!$E$11:$Z$224,'Pre-Assessment Estimator'!$U$2,FALSE))</f>
        <v>0</v>
      </c>
      <c r="AL13" s="839"/>
      <c r="AM13" s="840"/>
      <c r="AN13" s="840"/>
      <c r="AO13" s="181"/>
      <c r="AP13" s="186"/>
      <c r="AR13" s="291"/>
      <c r="AS13" s="181"/>
      <c r="AT13" s="181"/>
      <c r="AU13" s="181"/>
      <c r="AV13" s="186"/>
      <c r="AW13" s="141"/>
      <c r="AX13" s="841"/>
      <c r="AY13" s="842"/>
      <c r="AZ13" s="842"/>
      <c r="BA13" s="842"/>
      <c r="BB13" s="176"/>
      <c r="BC13" s="182">
        <f t="shared" si="12"/>
        <v>9</v>
      </c>
      <c r="BD13" s="164" t="str">
        <f t="shared" si="7"/>
        <v>N/A</v>
      </c>
      <c r="BE13" s="185"/>
      <c r="BF13" s="182">
        <f t="shared" si="13"/>
        <v>9</v>
      </c>
      <c r="BG13" s="164" t="str">
        <f t="shared" si="9"/>
        <v>N/A</v>
      </c>
      <c r="BH13" s="185"/>
      <c r="BI13" s="182">
        <f t="shared" si="14"/>
        <v>9</v>
      </c>
      <c r="BJ13" s="164" t="str">
        <f t="shared" si="10"/>
        <v>N/A</v>
      </c>
      <c r="BK13" s="843"/>
      <c r="BN13" s="167"/>
      <c r="BO13" s="167"/>
      <c r="BP13" s="167" t="str">
        <f t="shared" si="15"/>
        <v/>
      </c>
      <c r="BQ13" s="167">
        <f t="shared" ref="BQ13:BQ30" si="21">IF(BP13="",9,(IF(AH13&gt;=BP13,5,0)))</f>
        <v>9</v>
      </c>
      <c r="BR13" s="167">
        <f t="shared" si="17"/>
        <v>9</v>
      </c>
      <c r="BS13" s="167">
        <f t="shared" si="18"/>
        <v>9</v>
      </c>
      <c r="BV13" s="684"/>
      <c r="BW13" s="684"/>
      <c r="BX13" s="288"/>
      <c r="BY13" s="288"/>
      <c r="BZ13" s="288"/>
      <c r="CA13" s="288"/>
    </row>
    <row r="14" spans="1:89" x14ac:dyDescent="0.25">
      <c r="A14" s="96">
        <v>6</v>
      </c>
      <c r="B14" s="96" t="str">
        <f t="shared" si="11"/>
        <v>Man 01d</v>
      </c>
      <c r="C14" s="167" t="s">
        <v>698</v>
      </c>
      <c r="D14" s="1122" t="s">
        <v>590</v>
      </c>
      <c r="E14" s="788">
        <v>1</v>
      </c>
      <c r="F14" s="788">
        <v>1</v>
      </c>
      <c r="G14" s="788">
        <v>1</v>
      </c>
      <c r="H14" s="788">
        <v>1</v>
      </c>
      <c r="I14" s="788">
        <v>1</v>
      </c>
      <c r="J14" s="788">
        <v>1</v>
      </c>
      <c r="K14" s="788">
        <v>1</v>
      </c>
      <c r="L14" s="788">
        <v>1</v>
      </c>
      <c r="M14" s="788">
        <v>1</v>
      </c>
      <c r="N14" s="788">
        <v>1</v>
      </c>
      <c r="O14" s="788">
        <v>1</v>
      </c>
      <c r="P14" s="788">
        <v>1</v>
      </c>
      <c r="Q14" s="788">
        <v>1</v>
      </c>
      <c r="R14" s="675"/>
      <c r="S14" s="165">
        <f t="shared" si="2"/>
        <v>1</v>
      </c>
      <c r="T14" s="166"/>
      <c r="U14" s="167"/>
      <c r="V14" s="167"/>
      <c r="W14" s="168"/>
      <c r="X14" s="169"/>
      <c r="Y14" s="1175">
        <f>VLOOKUP(B14,'Manuell filtrering og justering'!$A$7:$H$107,'Manuell filtrering og justering'!$H$1,FALSE)</f>
        <v>2</v>
      </c>
      <c r="Z14" s="1185">
        <f t="shared" si="4"/>
        <v>0</v>
      </c>
      <c r="AA14" s="185">
        <f>IF($AB$5='Manuell filtrering og justering'!$J$2,Y14,(S14-Z14))</f>
        <v>1</v>
      </c>
      <c r="AC14" s="171">
        <f t="shared" si="5"/>
        <v>6.1904761904761907E-3</v>
      </c>
      <c r="AD14" s="171">
        <f>IF(AA14=0,0,(AC14/AA14)*AH14)</f>
        <v>0</v>
      </c>
      <c r="AE14" s="171">
        <f t="shared" si="19"/>
        <v>0</v>
      </c>
      <c r="AF14" s="171">
        <f t="shared" si="20"/>
        <v>0</v>
      </c>
      <c r="AH14" s="172">
        <f>IF(VLOOKUP(D14,'Pre-Assessment Estimator'!$E$11:$Z$224,'Pre-Assessment Estimator'!$G$2,FALSE)&gt;AA14,AA14,VLOOKUP(D14,'Pre-Assessment Estimator'!$E$11:$Z$224,'Pre-Assessment Estimator'!$G$2,FALSE))</f>
        <v>0</v>
      </c>
      <c r="AI14" s="172">
        <f>IF(VLOOKUP(D14,'Pre-Assessment Estimator'!$E$11:$Z$224,'Pre-Assessment Estimator'!$N$2,FALSE)&gt;AA14,AA14,VLOOKUP(D14,'Pre-Assessment Estimator'!$E$11:$Z$224,'Pre-Assessment Estimator'!$N$2,FALSE))</f>
        <v>0</v>
      </c>
      <c r="AJ14" s="172">
        <f>IF(VLOOKUP(D14,'Pre-Assessment Estimator'!$E$11:$Z$224,'Pre-Assessment Estimator'!$U$2,FALSE)&gt;AA14,AA14,VLOOKUP(D14,'Pre-Assessment Estimator'!$E$11:$Z$224,'Pre-Assessment Estimator'!$U$2,FALSE))</f>
        <v>0</v>
      </c>
      <c r="AL14" s="839"/>
      <c r="AM14" s="840"/>
      <c r="AN14" s="840"/>
      <c r="AO14" s="181"/>
      <c r="AP14" s="186"/>
      <c r="AR14" s="291"/>
      <c r="AS14" s="181"/>
      <c r="AT14" s="181"/>
      <c r="AU14" s="181"/>
      <c r="AV14" s="186"/>
      <c r="AW14" s="141"/>
      <c r="AX14" s="841"/>
      <c r="AY14" s="842"/>
      <c r="AZ14" s="842"/>
      <c r="BA14" s="842"/>
      <c r="BB14" s="176"/>
      <c r="BC14" s="182">
        <f t="shared" si="12"/>
        <v>9</v>
      </c>
      <c r="BD14" s="164" t="str">
        <f t="shared" si="7"/>
        <v>N/A</v>
      </c>
      <c r="BE14" s="185"/>
      <c r="BF14" s="182">
        <f t="shared" si="13"/>
        <v>9</v>
      </c>
      <c r="BG14" s="164" t="str">
        <f t="shared" si="9"/>
        <v>N/A</v>
      </c>
      <c r="BH14" s="185"/>
      <c r="BI14" s="182">
        <f t="shared" si="14"/>
        <v>9</v>
      </c>
      <c r="BJ14" s="164" t="str">
        <f t="shared" si="10"/>
        <v>N/A</v>
      </c>
      <c r="BK14" s="843"/>
      <c r="BN14" s="167"/>
      <c r="BO14" s="167"/>
      <c r="BP14" s="167" t="str">
        <f t="shared" si="15"/>
        <v/>
      </c>
      <c r="BQ14" s="167">
        <f t="shared" si="21"/>
        <v>9</v>
      </c>
      <c r="BR14" s="167">
        <f t="shared" si="17"/>
        <v>9</v>
      </c>
      <c r="BS14" s="167">
        <f t="shared" si="18"/>
        <v>9</v>
      </c>
      <c r="BV14" s="684"/>
      <c r="BW14" s="684"/>
      <c r="BX14" s="288"/>
      <c r="BY14" s="288"/>
      <c r="BZ14" s="288"/>
      <c r="CA14" s="288"/>
    </row>
    <row r="15" spans="1:89" x14ac:dyDescent="0.25">
      <c r="A15" s="96">
        <v>7</v>
      </c>
      <c r="B15" s="96" t="str">
        <f t="shared" si="11"/>
        <v>Man 01e</v>
      </c>
      <c r="C15" s="167" t="s">
        <v>697</v>
      </c>
      <c r="D15" s="1122" t="s">
        <v>591</v>
      </c>
      <c r="E15" s="788">
        <v>1</v>
      </c>
      <c r="F15" s="788">
        <v>1</v>
      </c>
      <c r="G15" s="788">
        <v>1</v>
      </c>
      <c r="H15" s="788">
        <v>1</v>
      </c>
      <c r="I15" s="788">
        <v>1</v>
      </c>
      <c r="J15" s="788">
        <v>1</v>
      </c>
      <c r="K15" s="788">
        <v>1</v>
      </c>
      <c r="L15" s="788">
        <v>1</v>
      </c>
      <c r="M15" s="788">
        <v>1</v>
      </c>
      <c r="N15" s="788">
        <v>1</v>
      </c>
      <c r="O15" s="788">
        <v>1</v>
      </c>
      <c r="P15" s="788">
        <v>1</v>
      </c>
      <c r="Q15" s="788">
        <v>1</v>
      </c>
      <c r="R15" s="675"/>
      <c r="S15" s="165">
        <f t="shared" si="2"/>
        <v>1</v>
      </c>
      <c r="T15" s="166"/>
      <c r="U15" s="167"/>
      <c r="V15" s="167"/>
      <c r="W15" s="168"/>
      <c r="X15" s="169"/>
      <c r="Y15" s="1175">
        <f>VLOOKUP(B15,'Manuell filtrering og justering'!$A$7:$H$107,'Manuell filtrering og justering'!$H$1,FALSE)</f>
        <v>1</v>
      </c>
      <c r="Z15" s="1185">
        <f t="shared" si="4"/>
        <v>0</v>
      </c>
      <c r="AA15" s="185">
        <f>IF($AB$5='Manuell filtrering og justering'!$J$2,Y15,(S15-Z15))</f>
        <v>1</v>
      </c>
      <c r="AC15" s="171">
        <f t="shared" si="5"/>
        <v>6.1904761904761907E-3</v>
      </c>
      <c r="AD15" s="171">
        <f>IF(AA15=0,0,(AC15/AA15)*AH15)</f>
        <v>0</v>
      </c>
      <c r="AE15" s="171">
        <f t="shared" si="19"/>
        <v>0</v>
      </c>
      <c r="AF15" s="171">
        <f t="shared" si="20"/>
        <v>0</v>
      </c>
      <c r="AH15" s="172">
        <f>IF(VLOOKUP(D15,'Pre-Assessment Estimator'!$E$11:$Z$224,'Pre-Assessment Estimator'!$G$2,FALSE)&gt;AA15,AA15,VLOOKUP(D15,'Pre-Assessment Estimator'!$E$11:$Z$224,'Pre-Assessment Estimator'!$G$2,FALSE))</f>
        <v>0</v>
      </c>
      <c r="AI15" s="172">
        <f>IF(VLOOKUP(D15,'Pre-Assessment Estimator'!$E$11:$Z$224,'Pre-Assessment Estimator'!$N$2,FALSE)&gt;AA15,AA15,VLOOKUP(D15,'Pre-Assessment Estimator'!$E$11:$Z$224,'Pre-Assessment Estimator'!$N$2,FALSE))</f>
        <v>0</v>
      </c>
      <c r="AJ15" s="172">
        <f>IF(VLOOKUP(D15,'Pre-Assessment Estimator'!$E$11:$Z$224,'Pre-Assessment Estimator'!$U$2,FALSE)&gt;AA15,AA15,VLOOKUP(D15,'Pre-Assessment Estimator'!$E$11:$Z$224,'Pre-Assessment Estimator'!$U$2,FALSE))</f>
        <v>0</v>
      </c>
      <c r="AL15" s="1020"/>
      <c r="AM15" s="1021"/>
      <c r="AN15" s="1021"/>
      <c r="AO15" s="1018"/>
      <c r="AP15" s="1016"/>
      <c r="AQ15" s="137"/>
      <c r="AR15" s="1017"/>
      <c r="AS15" s="1018"/>
      <c r="AT15" s="1018"/>
      <c r="AU15" s="1018"/>
      <c r="AV15" s="1016"/>
      <c r="AW15" s="141"/>
      <c r="AX15" s="841"/>
      <c r="AY15" s="842"/>
      <c r="AZ15" s="842"/>
      <c r="BA15" s="183"/>
      <c r="BB15" s="183"/>
      <c r="BC15" s="182">
        <f t="shared" si="12"/>
        <v>9</v>
      </c>
      <c r="BD15" s="164" t="str">
        <f t="shared" si="7"/>
        <v>N/A</v>
      </c>
      <c r="BE15" s="185"/>
      <c r="BF15" s="182">
        <f t="shared" si="13"/>
        <v>9</v>
      </c>
      <c r="BG15" s="164" t="str">
        <f t="shared" si="9"/>
        <v>N/A</v>
      </c>
      <c r="BH15" s="185"/>
      <c r="BI15" s="182">
        <f t="shared" si="14"/>
        <v>9</v>
      </c>
      <c r="BJ15" s="164" t="str">
        <f t="shared" si="10"/>
        <v>N/A</v>
      </c>
      <c r="BK15" s="843"/>
      <c r="BN15" s="167"/>
      <c r="BO15" s="167"/>
      <c r="BP15" s="167" t="str">
        <f t="shared" si="15"/>
        <v/>
      </c>
      <c r="BQ15" s="167">
        <f t="shared" si="21"/>
        <v>9</v>
      </c>
      <c r="BR15" s="167">
        <f t="shared" si="17"/>
        <v>9</v>
      </c>
      <c r="BS15" s="167">
        <f t="shared" si="18"/>
        <v>9</v>
      </c>
      <c r="BV15" s="684"/>
      <c r="BW15" s="684"/>
      <c r="BX15" s="288"/>
      <c r="BY15" s="288"/>
      <c r="BZ15" s="288"/>
      <c r="CA15" s="288"/>
    </row>
    <row r="16" spans="1:89" x14ac:dyDescent="0.25">
      <c r="A16" s="96">
        <v>8</v>
      </c>
      <c r="B16" s="137" t="str">
        <f>C16</f>
        <v>Man 02</v>
      </c>
      <c r="C16" s="845" t="s">
        <v>95</v>
      </c>
      <c r="D16" s="845" t="s">
        <v>309</v>
      </c>
      <c r="E16" s="947">
        <f>SUM(E17:E18)</f>
        <v>3</v>
      </c>
      <c r="F16" s="947">
        <f t="shared" ref="F16:Q16" si="22">SUM(F17:F18)</f>
        <v>3</v>
      </c>
      <c r="G16" s="947">
        <f t="shared" si="22"/>
        <v>3</v>
      </c>
      <c r="H16" s="947">
        <f t="shared" si="22"/>
        <v>3</v>
      </c>
      <c r="I16" s="947">
        <f t="shared" si="22"/>
        <v>3</v>
      </c>
      <c r="J16" s="947">
        <f t="shared" si="22"/>
        <v>3</v>
      </c>
      <c r="K16" s="947">
        <f t="shared" si="22"/>
        <v>3</v>
      </c>
      <c r="L16" s="947">
        <f t="shared" si="22"/>
        <v>3</v>
      </c>
      <c r="M16" s="947">
        <f t="shared" si="22"/>
        <v>3</v>
      </c>
      <c r="N16" s="947">
        <f t="shared" si="22"/>
        <v>3</v>
      </c>
      <c r="O16" s="947">
        <f t="shared" si="22"/>
        <v>3</v>
      </c>
      <c r="P16" s="947">
        <f t="shared" ref="P16" si="23">SUM(P17:P18)</f>
        <v>3</v>
      </c>
      <c r="Q16" s="947">
        <f t="shared" si="22"/>
        <v>3</v>
      </c>
      <c r="R16" s="675"/>
      <c r="S16" s="933">
        <f t="shared" si="2"/>
        <v>3</v>
      </c>
      <c r="T16" s="166"/>
      <c r="U16" s="167"/>
      <c r="V16" s="167"/>
      <c r="W16" s="168">
        <f>'Manuell filtrering og justering'!E8</f>
        <v>0</v>
      </c>
      <c r="X16" s="169"/>
      <c r="Y16" s="1193">
        <f t="shared" ref="Y16" si="24">SUM(Y17:Y18)</f>
        <v>3</v>
      </c>
      <c r="Z16" s="1185">
        <f t="shared" si="4"/>
        <v>0</v>
      </c>
      <c r="AA16" s="1189">
        <f t="shared" ref="AA16" si="25">SUM(AA17:AA18)</f>
        <v>3</v>
      </c>
      <c r="AC16" s="935">
        <f t="shared" si="5"/>
        <v>1.8571428571428572E-2</v>
      </c>
      <c r="AD16" s="935">
        <f>SUM(AD17:AD18)</f>
        <v>0</v>
      </c>
      <c r="AE16" s="935">
        <f>SUM(AE17:AE18)</f>
        <v>0</v>
      </c>
      <c r="AF16" s="935">
        <f>SUM(AF17:AF18)</f>
        <v>0</v>
      </c>
      <c r="AH16" s="936">
        <f t="shared" ref="AH16:AJ16" si="26">SUM(AH17:AH18)</f>
        <v>0</v>
      </c>
      <c r="AI16" s="936">
        <f t="shared" si="26"/>
        <v>0</v>
      </c>
      <c r="AJ16" s="936">
        <f t="shared" si="26"/>
        <v>0</v>
      </c>
      <c r="AL16" s="1017"/>
      <c r="AM16" s="1018"/>
      <c r="AN16" s="1018"/>
      <c r="AO16" s="1018"/>
      <c r="AP16" s="1016"/>
      <c r="AQ16" s="137"/>
      <c r="AR16" s="1017"/>
      <c r="AS16" s="1018"/>
      <c r="AT16" s="1018"/>
      <c r="AU16" s="1018"/>
      <c r="AV16" s="1016"/>
      <c r="AW16" s="141"/>
      <c r="AX16" s="182"/>
      <c r="AY16" s="183"/>
      <c r="AZ16" s="183"/>
      <c r="BA16" s="183"/>
      <c r="BB16" s="184"/>
      <c r="BC16" s="182">
        <f>IF(BB16=0,9,IF(AH16&gt;=BB16,5,IF(AH16&gt;=BA16,4,IF(AH16&gt;=AZ16,3,IF(AH16&gt;=AY16,2,IF(AH16&lt;AX16,0,1))))))</f>
        <v>9</v>
      </c>
      <c r="BD16" s="164" t="str">
        <f t="shared" si="7"/>
        <v>N/A</v>
      </c>
      <c r="BE16" s="185"/>
      <c r="BF16" s="182">
        <f t="shared" si="8"/>
        <v>9</v>
      </c>
      <c r="BG16" s="164" t="str">
        <f t="shared" si="9"/>
        <v>N/A</v>
      </c>
      <c r="BH16" s="185"/>
      <c r="BI16" s="182">
        <f t="shared" ref="BI16:BI164" si="27">IF(BB16=0,9,IF(AJ16&gt;=BB16,5,IF(AJ16&gt;=BA16,4,IF(AJ16&gt;=AZ16,3,IF(AJ16&gt;=AY16,2,IF(AJ16&lt;AX16,0,1))))))</f>
        <v>9</v>
      </c>
      <c r="BJ16" s="164" t="str">
        <f t="shared" si="10"/>
        <v>N/A</v>
      </c>
      <c r="BK16" s="185"/>
      <c r="BN16" s="167"/>
      <c r="BO16" s="167"/>
      <c r="BP16" s="167" t="str">
        <f t="shared" si="15"/>
        <v/>
      </c>
      <c r="BQ16" s="167">
        <f t="shared" si="21"/>
        <v>9</v>
      </c>
      <c r="BR16" s="167">
        <f t="shared" si="17"/>
        <v>9</v>
      </c>
      <c r="BS16" s="167">
        <f t="shared" si="18"/>
        <v>9</v>
      </c>
      <c r="BV16" s="685" t="str">
        <f>C16</f>
        <v>Man 02</v>
      </c>
      <c r="BW16" s="685" t="str">
        <f>IFERROR(VLOOKUP($D16,'Pre-Assessment Estimator'!$E$11:$AB$224,'Pre-Assessment Estimator'!AB$2,FALSE),"")</f>
        <v>No</v>
      </c>
      <c r="BX16" s="287">
        <f>IFERROR(VLOOKUP($D16,'Pre-Assessment Estimator'!$E$11:$AI$224,'Pre-Assessment Estimator'!AI$2,FALSE),"")</f>
        <v>0</v>
      </c>
      <c r="BY16" s="287">
        <f>IFERROR(VLOOKUP($BW16,$D$291:$G$324,E$289,FALSE),"")</f>
        <v>1</v>
      </c>
      <c r="BZ16" s="287">
        <f>IFERROR(VLOOKUP($BW16,$D$291:$G$324,F$289,FALSE),"")</f>
        <v>0</v>
      </c>
      <c r="CA16" s="287"/>
      <c r="CB16" s="96" t="str">
        <f>IFERROR(VLOOKUP($BW16,$D$291:$G$324,H$289,FALSE),"")</f>
        <v/>
      </c>
    </row>
    <row r="17" spans="1:80" x14ac:dyDescent="0.25">
      <c r="A17" s="96">
        <v>9</v>
      </c>
      <c r="B17" s="96" t="str">
        <f t="shared" ref="B17:B18" si="28">$C$16&amp;C17</f>
        <v>Man 02a</v>
      </c>
      <c r="C17" s="167" t="s">
        <v>696</v>
      </c>
      <c r="D17" s="1122" t="s">
        <v>594</v>
      </c>
      <c r="E17" s="788">
        <v>2</v>
      </c>
      <c r="F17" s="788">
        <v>2</v>
      </c>
      <c r="G17" s="788">
        <v>2</v>
      </c>
      <c r="H17" s="788">
        <v>2</v>
      </c>
      <c r="I17" s="788">
        <v>2</v>
      </c>
      <c r="J17" s="788">
        <v>2</v>
      </c>
      <c r="K17" s="788">
        <v>2</v>
      </c>
      <c r="L17" s="788">
        <v>2</v>
      </c>
      <c r="M17" s="788">
        <v>2</v>
      </c>
      <c r="N17" s="788">
        <v>2</v>
      </c>
      <c r="O17" s="788">
        <v>2</v>
      </c>
      <c r="P17" s="788">
        <v>2</v>
      </c>
      <c r="Q17" s="788">
        <v>2</v>
      </c>
      <c r="R17" s="675"/>
      <c r="S17" s="165">
        <f t="shared" si="2"/>
        <v>2</v>
      </c>
      <c r="T17" s="166"/>
      <c r="U17" s="167"/>
      <c r="V17" s="167"/>
      <c r="W17" s="168"/>
      <c r="X17" s="169"/>
      <c r="Y17" s="1175">
        <f>VLOOKUP(B17,'Manuell filtrering og justering'!$A$7:$H$107,'Manuell filtrering og justering'!$H$1,FALSE)</f>
        <v>2</v>
      </c>
      <c r="Z17" s="1185">
        <f t="shared" si="4"/>
        <v>0</v>
      </c>
      <c r="AA17" s="185">
        <f>IF($AB$5='Manuell filtrering og justering'!$J$2,Y17,(S17-Z17))</f>
        <v>2</v>
      </c>
      <c r="AC17" s="171">
        <f t="shared" si="5"/>
        <v>1.2380952380952381E-2</v>
      </c>
      <c r="AD17" s="171">
        <f>IF(AA17=0,0,(AC17/AA17)*AH17)</f>
        <v>0</v>
      </c>
      <c r="AE17" s="171">
        <f t="shared" si="19"/>
        <v>0</v>
      </c>
      <c r="AF17" s="171">
        <f t="shared" si="20"/>
        <v>0</v>
      </c>
      <c r="AH17" s="172">
        <f>IF(VLOOKUP(D17,'Pre-Assessment Estimator'!$E$11:$Z$224,'Pre-Assessment Estimator'!$G$2,FALSE)&gt;AA17,AA17,VLOOKUP(D17,'Pre-Assessment Estimator'!$E$11:$Z$224,'Pre-Assessment Estimator'!$G$2,FALSE))</f>
        <v>0</v>
      </c>
      <c r="AI17" s="172">
        <f>IF(VLOOKUP(D17,'Pre-Assessment Estimator'!$E$11:$Z$224,'Pre-Assessment Estimator'!$N$2,FALSE)&gt;AA17,AA17,VLOOKUP(D17,'Pre-Assessment Estimator'!$E$11:$Z$224,'Pre-Assessment Estimator'!$N$2,FALSE))</f>
        <v>0</v>
      </c>
      <c r="AJ17" s="172">
        <f>IF(VLOOKUP(D17,'Pre-Assessment Estimator'!$E$11:$Z$224,'Pre-Assessment Estimator'!$U$2,FALSE)&gt;AA17,AA17,VLOOKUP(D17,'Pre-Assessment Estimator'!$E$11:$Z$224,'Pre-Assessment Estimator'!$U$2,FALSE))</f>
        <v>0</v>
      </c>
      <c r="AL17" s="1017"/>
      <c r="AM17" s="1018"/>
      <c r="AN17" s="1018"/>
      <c r="AO17" s="1018"/>
      <c r="AP17" s="1016"/>
      <c r="AQ17" s="137"/>
      <c r="AR17" s="1017"/>
      <c r="AS17" s="1018"/>
      <c r="AT17" s="1018"/>
      <c r="AU17" s="1018"/>
      <c r="AV17" s="1016"/>
      <c r="AW17" s="141"/>
      <c r="AX17" s="182"/>
      <c r="AY17" s="183"/>
      <c r="AZ17" s="183"/>
      <c r="BA17" s="183"/>
      <c r="BB17" s="184"/>
      <c r="BC17" s="182">
        <f t="shared" ref="BC17:BC34" si="29">IF(BB17=0,9,IF(AH17&gt;=BB17,5,IF(AH17&gt;=BA17,4,IF(AH17&gt;=AZ17,3,IF(AH17&gt;=AY17,2,IF(AH17&lt;AX17,0,1))))))</f>
        <v>9</v>
      </c>
      <c r="BD17" s="164" t="str">
        <f t="shared" si="7"/>
        <v>N/A</v>
      </c>
      <c r="BE17" s="185"/>
      <c r="BF17" s="182">
        <f t="shared" si="8"/>
        <v>9</v>
      </c>
      <c r="BG17" s="164" t="str">
        <f t="shared" si="9"/>
        <v>N/A</v>
      </c>
      <c r="BH17" s="185"/>
      <c r="BI17" s="182">
        <f t="shared" si="27"/>
        <v>9</v>
      </c>
      <c r="BJ17" s="164" t="str">
        <f t="shared" si="10"/>
        <v>N/A</v>
      </c>
      <c r="BK17" s="185"/>
      <c r="BN17" s="167"/>
      <c r="BO17" s="167"/>
      <c r="BP17" s="167" t="str">
        <f t="shared" si="15"/>
        <v/>
      </c>
      <c r="BQ17" s="167">
        <f t="shared" si="21"/>
        <v>9</v>
      </c>
      <c r="BR17" s="167">
        <f t="shared" si="17"/>
        <v>9</v>
      </c>
      <c r="BS17" s="167">
        <f t="shared" si="18"/>
        <v>9</v>
      </c>
      <c r="BV17" s="685"/>
      <c r="BW17" s="685"/>
      <c r="BX17" s="287"/>
      <c r="BY17" s="287"/>
      <c r="BZ17" s="287"/>
      <c r="CA17" s="287"/>
    </row>
    <row r="18" spans="1:80" x14ac:dyDescent="0.25">
      <c r="A18" s="96">
        <v>10</v>
      </c>
      <c r="B18" s="96" t="str">
        <f t="shared" si="28"/>
        <v>Man 02b</v>
      </c>
      <c r="C18" s="167" t="s">
        <v>699</v>
      </c>
      <c r="D18" s="1122" t="s">
        <v>595</v>
      </c>
      <c r="E18" s="788">
        <v>1</v>
      </c>
      <c r="F18" s="788">
        <v>1</v>
      </c>
      <c r="G18" s="788">
        <v>1</v>
      </c>
      <c r="H18" s="788">
        <v>1</v>
      </c>
      <c r="I18" s="788">
        <v>1</v>
      </c>
      <c r="J18" s="788">
        <v>1</v>
      </c>
      <c r="K18" s="788">
        <v>1</v>
      </c>
      <c r="L18" s="788">
        <v>1</v>
      </c>
      <c r="M18" s="788">
        <v>1</v>
      </c>
      <c r="N18" s="788">
        <v>1</v>
      </c>
      <c r="O18" s="788">
        <v>1</v>
      </c>
      <c r="P18" s="788">
        <v>1</v>
      </c>
      <c r="Q18" s="788">
        <v>1</v>
      </c>
      <c r="R18" s="675"/>
      <c r="S18" s="165">
        <f t="shared" si="2"/>
        <v>1</v>
      </c>
      <c r="T18" s="166"/>
      <c r="U18" s="167"/>
      <c r="V18" s="167"/>
      <c r="W18" s="168"/>
      <c r="X18" s="169"/>
      <c r="Y18" s="1175">
        <f>VLOOKUP(B18,'Manuell filtrering og justering'!$A$7:$H$107,'Manuell filtrering og justering'!$H$1,FALSE)</f>
        <v>1</v>
      </c>
      <c r="Z18" s="1185">
        <f t="shared" si="4"/>
        <v>0</v>
      </c>
      <c r="AA18" s="185">
        <f>IF($AB$5='Manuell filtrering og justering'!$J$2,Y18,(S18-Z18))</f>
        <v>1</v>
      </c>
      <c r="AC18" s="171">
        <f t="shared" si="5"/>
        <v>6.1904761904761907E-3</v>
      </c>
      <c r="AD18" s="171">
        <f>IF(AA18=0,0,(AC18/AA18)*AH18)</f>
        <v>0</v>
      </c>
      <c r="AE18" s="171">
        <f t="shared" si="19"/>
        <v>0</v>
      </c>
      <c r="AF18" s="171">
        <f t="shared" si="20"/>
        <v>0</v>
      </c>
      <c r="AH18" s="172">
        <f>IF(VLOOKUP(D18,'Pre-Assessment Estimator'!$E$11:$Z$224,'Pre-Assessment Estimator'!$G$2,FALSE)&gt;AA18,AA18,VLOOKUP(D18,'Pre-Assessment Estimator'!$E$11:$Z$224,'Pre-Assessment Estimator'!$G$2,FALSE))</f>
        <v>0</v>
      </c>
      <c r="AI18" s="172">
        <f>IF(VLOOKUP(D18,'Pre-Assessment Estimator'!$E$11:$Z$224,'Pre-Assessment Estimator'!$N$2,FALSE)&gt;AA18,AA18,VLOOKUP(D18,'Pre-Assessment Estimator'!$E$11:$Z$224,'Pre-Assessment Estimator'!$N$2,FALSE))</f>
        <v>0</v>
      </c>
      <c r="AJ18" s="172">
        <f>IF(VLOOKUP(D18,'Pre-Assessment Estimator'!$E$11:$Z$224,'Pre-Assessment Estimator'!$U$2,FALSE)&gt;AA18,AA18,VLOOKUP(D18,'Pre-Assessment Estimator'!$E$11:$Z$224,'Pre-Assessment Estimator'!$U$2,FALSE))</f>
        <v>0</v>
      </c>
      <c r="AL18" s="1017"/>
      <c r="AM18" s="1018"/>
      <c r="AN18" s="1018"/>
      <c r="AO18" s="1018"/>
      <c r="AP18" s="1016"/>
      <c r="AQ18" s="137"/>
      <c r="AR18" s="1017"/>
      <c r="AS18" s="1018"/>
      <c r="AT18" s="1018"/>
      <c r="AU18" s="1018"/>
      <c r="AV18" s="1016"/>
      <c r="AW18" s="141"/>
      <c r="AX18" s="182"/>
      <c r="AY18" s="183"/>
      <c r="AZ18" s="183"/>
      <c r="BA18" s="183"/>
      <c r="BB18" s="184"/>
      <c r="BC18" s="182">
        <f t="shared" si="29"/>
        <v>9</v>
      </c>
      <c r="BD18" s="164" t="str">
        <f t="shared" si="7"/>
        <v>N/A</v>
      </c>
      <c r="BE18" s="185"/>
      <c r="BF18" s="182">
        <f t="shared" si="8"/>
        <v>9</v>
      </c>
      <c r="BG18" s="164" t="str">
        <f t="shared" si="9"/>
        <v>N/A</v>
      </c>
      <c r="BH18" s="185"/>
      <c r="BI18" s="182">
        <f t="shared" si="27"/>
        <v>9</v>
      </c>
      <c r="BJ18" s="164" t="str">
        <f t="shared" si="10"/>
        <v>N/A</v>
      </c>
      <c r="BK18" s="185"/>
      <c r="BN18" s="167"/>
      <c r="BO18" s="167"/>
      <c r="BP18" s="167" t="str">
        <f t="shared" si="15"/>
        <v/>
      </c>
      <c r="BQ18" s="167">
        <f t="shared" si="21"/>
        <v>9</v>
      </c>
      <c r="BR18" s="167">
        <f t="shared" si="17"/>
        <v>9</v>
      </c>
      <c r="BS18" s="167">
        <f t="shared" si="18"/>
        <v>9</v>
      </c>
      <c r="BV18" s="685"/>
      <c r="BW18" s="685"/>
      <c r="BX18" s="287"/>
      <c r="BY18" s="287"/>
      <c r="BZ18" s="287"/>
      <c r="CA18" s="287"/>
    </row>
    <row r="19" spans="1:80" x14ac:dyDescent="0.25">
      <c r="A19" s="96">
        <v>11</v>
      </c>
      <c r="B19" s="137" t="str">
        <f>C19</f>
        <v>Man 03</v>
      </c>
      <c r="C19" s="845" t="s">
        <v>96</v>
      </c>
      <c r="D19" s="845" t="s">
        <v>310</v>
      </c>
      <c r="E19" s="947">
        <f>SUM(E20:E25)</f>
        <v>7</v>
      </c>
      <c r="F19" s="947">
        <f t="shared" ref="F19:Q19" si="30">SUM(F20:F25)</f>
        <v>7</v>
      </c>
      <c r="G19" s="947">
        <f t="shared" si="30"/>
        <v>7</v>
      </c>
      <c r="H19" s="947">
        <f t="shared" si="30"/>
        <v>7</v>
      </c>
      <c r="I19" s="947">
        <f t="shared" si="30"/>
        <v>7</v>
      </c>
      <c r="J19" s="947">
        <f t="shared" si="30"/>
        <v>7</v>
      </c>
      <c r="K19" s="947">
        <f t="shared" si="30"/>
        <v>7</v>
      </c>
      <c r="L19" s="947">
        <f t="shared" si="30"/>
        <v>7</v>
      </c>
      <c r="M19" s="947">
        <f t="shared" si="30"/>
        <v>7</v>
      </c>
      <c r="N19" s="947">
        <f t="shared" si="30"/>
        <v>7</v>
      </c>
      <c r="O19" s="947">
        <f t="shared" si="30"/>
        <v>7</v>
      </c>
      <c r="P19" s="947">
        <f t="shared" ref="P19" si="31">SUM(P20:P25)</f>
        <v>7</v>
      </c>
      <c r="Q19" s="947">
        <f t="shared" si="30"/>
        <v>7</v>
      </c>
      <c r="S19" s="933">
        <f t="shared" si="2"/>
        <v>7</v>
      </c>
      <c r="T19" s="166"/>
      <c r="U19" s="167"/>
      <c r="V19" s="167"/>
      <c r="W19" s="168">
        <f>'Manuell filtrering og justering'!E9</f>
        <v>0</v>
      </c>
      <c r="X19" s="169"/>
      <c r="Y19" s="1193">
        <f>SUM(Y20:Y25)</f>
        <v>5</v>
      </c>
      <c r="Z19" s="1185">
        <f t="shared" si="4"/>
        <v>0</v>
      </c>
      <c r="AA19" s="1189">
        <f>SUM(AA20:AA25)</f>
        <v>7</v>
      </c>
      <c r="AC19" s="935">
        <f t="shared" si="5"/>
        <v>4.3333333333333335E-2</v>
      </c>
      <c r="AD19" s="935">
        <f>SUM(AD20:AD25)</f>
        <v>0</v>
      </c>
      <c r="AE19" s="935">
        <f>SUM(AE20:AE25)</f>
        <v>0</v>
      </c>
      <c r="AF19" s="935">
        <f>SUM(AF20:AF25)</f>
        <v>0</v>
      </c>
      <c r="AH19" s="936">
        <f t="shared" ref="AH19:AJ19" si="32">SUM(AH20:AH25)</f>
        <v>0</v>
      </c>
      <c r="AI19" s="936">
        <f t="shared" si="32"/>
        <v>0</v>
      </c>
      <c r="AJ19" s="936">
        <f t="shared" si="32"/>
        <v>0</v>
      </c>
      <c r="AL19" s="1017"/>
      <c r="AM19" s="1018"/>
      <c r="AN19" s="1018"/>
      <c r="AO19" s="1018"/>
      <c r="AP19" s="1016"/>
      <c r="AQ19" s="137"/>
      <c r="AR19" s="1017"/>
      <c r="AS19" s="1018"/>
      <c r="AT19" s="1018"/>
      <c r="AU19" s="1018"/>
      <c r="AV19" s="1016"/>
      <c r="AW19" s="141"/>
      <c r="AX19" s="182"/>
      <c r="AY19" s="183"/>
      <c r="AZ19" s="183"/>
      <c r="BA19" s="183"/>
      <c r="BB19" s="184"/>
      <c r="BC19" s="182">
        <f t="shared" si="29"/>
        <v>9</v>
      </c>
      <c r="BD19" s="164" t="str">
        <f t="shared" si="7"/>
        <v>N/A</v>
      </c>
      <c r="BE19" s="185"/>
      <c r="BF19" s="182">
        <f t="shared" si="8"/>
        <v>9</v>
      </c>
      <c r="BG19" s="164" t="str">
        <f t="shared" si="9"/>
        <v>N/A</v>
      </c>
      <c r="BH19" s="185"/>
      <c r="BI19" s="182">
        <f t="shared" si="27"/>
        <v>9</v>
      </c>
      <c r="BJ19" s="164" t="str">
        <f t="shared" si="10"/>
        <v>N/A</v>
      </c>
      <c r="BK19" s="185"/>
      <c r="BN19" s="167"/>
      <c r="BO19" s="167"/>
      <c r="BP19" s="167" t="str">
        <f t="shared" si="15"/>
        <v/>
      </c>
      <c r="BQ19" s="167">
        <f t="shared" si="21"/>
        <v>9</v>
      </c>
      <c r="BR19" s="167">
        <f t="shared" si="17"/>
        <v>9</v>
      </c>
      <c r="BS19" s="167">
        <f t="shared" si="18"/>
        <v>9</v>
      </c>
      <c r="BV19" s="685" t="str">
        <f>C19</f>
        <v>Man 03</v>
      </c>
      <c r="BW19" s="685" t="str">
        <f>IFERROR(VLOOKUP($D19,'Pre-Assessment Estimator'!$E$11:$AB$224,'Pre-Assessment Estimator'!AB$2,FALSE),"")</f>
        <v>N/A</v>
      </c>
      <c r="BX19" s="287">
        <f>IFERROR(VLOOKUP($D19,'Pre-Assessment Estimator'!$E$11:$AI$224,'Pre-Assessment Estimator'!AI$2,FALSE),"")</f>
        <v>0</v>
      </c>
      <c r="BY19" s="287">
        <f>IFERROR(VLOOKUP($BW19,$D$291:$G$324,E$289,FALSE),"")</f>
        <v>1</v>
      </c>
      <c r="BZ19" s="287">
        <f>IFERROR(VLOOKUP($BW19,$D$291:$G$324,F$289,FALSE),"")</f>
        <v>0</v>
      </c>
      <c r="CA19" s="287"/>
      <c r="CB19" s="96" t="str">
        <f>IFERROR(VLOOKUP($BW19,$D$291:$G$324,H$289,FALSE),"")</f>
        <v/>
      </c>
    </row>
    <row r="20" spans="1:80" x14ac:dyDescent="0.25">
      <c r="A20" s="96">
        <v>12</v>
      </c>
      <c r="B20" s="96" t="str">
        <f t="shared" ref="B20:B25" si="33">$C$19&amp;C20</f>
        <v>Man 03a</v>
      </c>
      <c r="C20" s="167" t="s">
        <v>696</v>
      </c>
      <c r="D20" s="1122" t="s">
        <v>596</v>
      </c>
      <c r="E20" s="788">
        <v>1</v>
      </c>
      <c r="F20" s="788">
        <v>1</v>
      </c>
      <c r="G20" s="788">
        <v>1</v>
      </c>
      <c r="H20" s="788">
        <v>1</v>
      </c>
      <c r="I20" s="788">
        <v>1</v>
      </c>
      <c r="J20" s="788">
        <v>1</v>
      </c>
      <c r="K20" s="788">
        <v>1</v>
      </c>
      <c r="L20" s="788">
        <v>1</v>
      </c>
      <c r="M20" s="788">
        <v>1</v>
      </c>
      <c r="N20" s="788">
        <v>1</v>
      </c>
      <c r="O20" s="788">
        <v>1</v>
      </c>
      <c r="P20" s="788">
        <v>1</v>
      </c>
      <c r="Q20" s="788">
        <v>1</v>
      </c>
      <c r="S20" s="165">
        <f t="shared" si="2"/>
        <v>1</v>
      </c>
      <c r="T20" s="166"/>
      <c r="U20" s="167"/>
      <c r="V20" s="167"/>
      <c r="W20" s="168"/>
      <c r="X20" s="169"/>
      <c r="Y20" s="1175">
        <f>VLOOKUP(B20,'Manuell filtrering og justering'!$A$7:$H$107,'Manuell filtrering og justering'!$H$1,FALSE)</f>
        <v>1</v>
      </c>
      <c r="Z20" s="1185">
        <f t="shared" si="4"/>
        <v>0</v>
      </c>
      <c r="AA20" s="185">
        <f>IF($AB$5='Manuell filtrering og justering'!$J$2,Y20,(S20-Z20))</f>
        <v>1</v>
      </c>
      <c r="AC20" s="171">
        <f t="shared" si="5"/>
        <v>6.1904761904761907E-3</v>
      </c>
      <c r="AD20" s="171">
        <f>IF(AA20=0,0,(AC20/AA20)*AH20)</f>
        <v>0</v>
      </c>
      <c r="AE20" s="171">
        <f t="shared" si="19"/>
        <v>0</v>
      </c>
      <c r="AF20" s="171">
        <f t="shared" si="20"/>
        <v>0</v>
      </c>
      <c r="AH20" s="172">
        <f>IF(VLOOKUP(D20,'Pre-Assessment Estimator'!$E$11:$Z$224,'Pre-Assessment Estimator'!$G$2,FALSE)&gt;AA20,AA20,VLOOKUP(D20,'Pre-Assessment Estimator'!$E$11:$Z$224,'Pre-Assessment Estimator'!$G$2,FALSE))</f>
        <v>0</v>
      </c>
      <c r="AI20" s="172">
        <f>IF(VLOOKUP(D20,'Pre-Assessment Estimator'!$E$11:$Z$224,'Pre-Assessment Estimator'!$N$2,FALSE)&gt;AA20,AA20,VLOOKUP(D20,'Pre-Assessment Estimator'!$E$11:$Z$224,'Pre-Assessment Estimator'!$N$2,FALSE))</f>
        <v>0</v>
      </c>
      <c r="AJ20" s="172">
        <f>IF(VLOOKUP(D20,'Pre-Assessment Estimator'!$E$11:$Z$224,'Pre-Assessment Estimator'!$U$2,FALSE)&gt;AA20,AA20,VLOOKUP(D20,'Pre-Assessment Estimator'!$E$11:$Z$224,'Pre-Assessment Estimator'!$U$2,FALSE))</f>
        <v>0</v>
      </c>
      <c r="AL20" s="1017"/>
      <c r="AM20" s="1018"/>
      <c r="AN20" s="1018"/>
      <c r="AO20" s="1018"/>
      <c r="AP20" s="1016"/>
      <c r="AQ20" s="137"/>
      <c r="AR20" s="1017"/>
      <c r="AS20" s="1018"/>
      <c r="AT20" s="1018"/>
      <c r="AU20" s="1018"/>
      <c r="AV20" s="1016"/>
      <c r="AW20" s="141"/>
      <c r="AX20" s="182"/>
      <c r="AY20" s="183"/>
      <c r="AZ20" s="183"/>
      <c r="BA20" s="183"/>
      <c r="BB20" s="184"/>
      <c r="BC20" s="182">
        <f t="shared" si="29"/>
        <v>9</v>
      </c>
      <c r="BD20" s="164" t="str">
        <f t="shared" si="7"/>
        <v>N/A</v>
      </c>
      <c r="BE20" s="185"/>
      <c r="BF20" s="182">
        <f t="shared" si="8"/>
        <v>9</v>
      </c>
      <c r="BG20" s="164" t="str">
        <f t="shared" si="9"/>
        <v>N/A</v>
      </c>
      <c r="BH20" s="185"/>
      <c r="BI20" s="182">
        <f t="shared" si="27"/>
        <v>9</v>
      </c>
      <c r="BJ20" s="164" t="str">
        <f t="shared" si="10"/>
        <v>N/A</v>
      </c>
      <c r="BK20" s="185"/>
      <c r="BN20" s="167"/>
      <c r="BO20" s="167"/>
      <c r="BP20" s="167" t="str">
        <f t="shared" si="15"/>
        <v/>
      </c>
      <c r="BQ20" s="167">
        <f t="shared" si="21"/>
        <v>9</v>
      </c>
      <c r="BR20" s="167">
        <f t="shared" si="17"/>
        <v>9</v>
      </c>
      <c r="BS20" s="167">
        <f t="shared" si="18"/>
        <v>9</v>
      </c>
      <c r="BV20" s="685"/>
      <c r="BW20" s="685"/>
      <c r="BX20" s="287"/>
      <c r="BY20" s="287"/>
      <c r="BZ20" s="287"/>
      <c r="CA20" s="287"/>
    </row>
    <row r="21" spans="1:80" x14ac:dyDescent="0.25">
      <c r="A21" s="96">
        <v>13</v>
      </c>
      <c r="B21" s="96" t="str">
        <f t="shared" si="33"/>
        <v>Man 03b</v>
      </c>
      <c r="C21" s="167" t="s">
        <v>699</v>
      </c>
      <c r="D21" s="1122" t="s">
        <v>959</v>
      </c>
      <c r="E21" s="788">
        <v>1</v>
      </c>
      <c r="F21" s="788">
        <v>1</v>
      </c>
      <c r="G21" s="788">
        <v>1</v>
      </c>
      <c r="H21" s="788">
        <v>1</v>
      </c>
      <c r="I21" s="788">
        <v>1</v>
      </c>
      <c r="J21" s="788">
        <v>1</v>
      </c>
      <c r="K21" s="788">
        <v>1</v>
      </c>
      <c r="L21" s="788">
        <v>1</v>
      </c>
      <c r="M21" s="788">
        <v>1</v>
      </c>
      <c r="N21" s="788">
        <v>1</v>
      </c>
      <c r="O21" s="788">
        <v>1</v>
      </c>
      <c r="P21" s="788">
        <v>1</v>
      </c>
      <c r="Q21" s="788">
        <v>1</v>
      </c>
      <c r="S21" s="165">
        <f t="shared" si="2"/>
        <v>1</v>
      </c>
      <c r="T21" s="166"/>
      <c r="U21" s="167"/>
      <c r="V21" s="167"/>
      <c r="W21" s="168"/>
      <c r="X21" s="169"/>
      <c r="Y21" s="1175">
        <f>VLOOKUP(B21,'Manuell filtrering og justering'!$A$7:$H$107,'Manuell filtrering og justering'!$H$1,FALSE)</f>
        <v>1</v>
      </c>
      <c r="Z21" s="1185">
        <f t="shared" si="4"/>
        <v>0</v>
      </c>
      <c r="AA21" s="185">
        <f>IF($AB$5='Manuell filtrering og justering'!$J$2,Y21,(S21-Z21))</f>
        <v>1</v>
      </c>
      <c r="AC21" s="171">
        <f t="shared" si="5"/>
        <v>6.1904761904761907E-3</v>
      </c>
      <c r="AD21" s="171">
        <f>IF(AA21=0,0,(AC21/AA21)*AH21)</f>
        <v>0</v>
      </c>
      <c r="AE21" s="171">
        <f t="shared" si="19"/>
        <v>0</v>
      </c>
      <c r="AF21" s="171">
        <f t="shared" si="20"/>
        <v>0</v>
      </c>
      <c r="AH21" s="172">
        <f>IF(VLOOKUP(D21,'Pre-Assessment Estimator'!$E$11:$Z$224,'Pre-Assessment Estimator'!$G$2,FALSE)&gt;AA21,AA21,VLOOKUP(D21,'Pre-Assessment Estimator'!$E$11:$Z$224,'Pre-Assessment Estimator'!$G$2,FALSE))</f>
        <v>0</v>
      </c>
      <c r="AI21" s="172">
        <f>IF(VLOOKUP(D21,'Pre-Assessment Estimator'!$E$11:$Z$224,'Pre-Assessment Estimator'!$N$2,FALSE)&gt;AA21,AA21,VLOOKUP(D21,'Pre-Assessment Estimator'!$E$11:$Z$224,'Pre-Assessment Estimator'!$N$2,FALSE))</f>
        <v>0</v>
      </c>
      <c r="AJ21" s="172">
        <f>IF(VLOOKUP(D21,'Pre-Assessment Estimator'!$E$11:$Z$224,'Pre-Assessment Estimator'!$U$2,FALSE)&gt;AA21,AA21,VLOOKUP(D21,'Pre-Assessment Estimator'!$E$11:$Z$224,'Pre-Assessment Estimator'!$U$2,FALSE))</f>
        <v>0</v>
      </c>
      <c r="AL21" s="1017"/>
      <c r="AM21" s="1018"/>
      <c r="AN21" s="1018"/>
      <c r="AO21" s="1018"/>
      <c r="AP21" s="1016"/>
      <c r="AQ21" s="137"/>
      <c r="AR21" s="1017"/>
      <c r="AS21" s="1018"/>
      <c r="AT21" s="1018"/>
      <c r="AU21" s="1018"/>
      <c r="AV21" s="1016"/>
      <c r="AW21" s="141"/>
      <c r="AX21" s="182"/>
      <c r="AY21" s="183"/>
      <c r="AZ21" s="183"/>
      <c r="BA21" s="183"/>
      <c r="BB21" s="184"/>
      <c r="BC21" s="182">
        <f t="shared" si="29"/>
        <v>9</v>
      </c>
      <c r="BD21" s="164" t="str">
        <f t="shared" si="7"/>
        <v>N/A</v>
      </c>
      <c r="BE21" s="185"/>
      <c r="BF21" s="182">
        <f t="shared" si="8"/>
        <v>9</v>
      </c>
      <c r="BG21" s="164" t="str">
        <f t="shared" si="9"/>
        <v>N/A</v>
      </c>
      <c r="BH21" s="185"/>
      <c r="BI21" s="182">
        <f t="shared" si="27"/>
        <v>9</v>
      </c>
      <c r="BJ21" s="164" t="str">
        <f t="shared" si="10"/>
        <v>N/A</v>
      </c>
      <c r="BK21" s="185"/>
      <c r="BN21" s="167"/>
      <c r="BO21" s="167"/>
      <c r="BP21" s="167" t="str">
        <f t="shared" si="15"/>
        <v/>
      </c>
      <c r="BQ21" s="167">
        <f t="shared" si="21"/>
        <v>9</v>
      </c>
      <c r="BR21" s="167">
        <f t="shared" si="17"/>
        <v>9</v>
      </c>
      <c r="BS21" s="167">
        <f t="shared" si="18"/>
        <v>9</v>
      </c>
      <c r="BV21" s="685"/>
      <c r="BW21" s="685"/>
      <c r="BX21" s="287"/>
      <c r="BY21" s="287"/>
      <c r="BZ21" s="287"/>
      <c r="CA21" s="287"/>
    </row>
    <row r="22" spans="1:80" x14ac:dyDescent="0.25">
      <c r="A22" s="96">
        <v>14</v>
      </c>
      <c r="B22" s="96" t="str">
        <f t="shared" si="33"/>
        <v>Man 03c</v>
      </c>
      <c r="C22" s="167" t="s">
        <v>700</v>
      </c>
      <c r="D22" s="1122" t="s">
        <v>1007</v>
      </c>
      <c r="E22" s="788">
        <v>1</v>
      </c>
      <c r="F22" s="788">
        <v>1</v>
      </c>
      <c r="G22" s="788">
        <v>1</v>
      </c>
      <c r="H22" s="788">
        <v>1</v>
      </c>
      <c r="I22" s="788">
        <v>1</v>
      </c>
      <c r="J22" s="788">
        <v>1</v>
      </c>
      <c r="K22" s="788">
        <v>1</v>
      </c>
      <c r="L22" s="788">
        <v>1</v>
      </c>
      <c r="M22" s="788">
        <v>1</v>
      </c>
      <c r="N22" s="788">
        <v>1</v>
      </c>
      <c r="O22" s="788">
        <v>1</v>
      </c>
      <c r="P22" s="788">
        <v>1</v>
      </c>
      <c r="Q22" s="788">
        <v>1</v>
      </c>
      <c r="S22" s="165">
        <f t="shared" si="2"/>
        <v>1</v>
      </c>
      <c r="T22" s="166"/>
      <c r="U22" s="167"/>
      <c r="V22" s="167"/>
      <c r="W22" s="168"/>
      <c r="X22" s="169"/>
      <c r="Y22" s="1175">
        <f>VLOOKUP(B22,'Manuell filtrering og justering'!$A$7:$H$107,'Manuell filtrering og justering'!$H$1,FALSE)</f>
        <v>1</v>
      </c>
      <c r="Z22" s="1185">
        <f t="shared" si="4"/>
        <v>0</v>
      </c>
      <c r="AA22" s="185">
        <f>IF($AB$5='Manuell filtrering og justering'!$J$2,Y22,(S22-Z22))</f>
        <v>1</v>
      </c>
      <c r="AC22" s="171">
        <f t="shared" si="5"/>
        <v>6.1904761904761907E-3</v>
      </c>
      <c r="AD22" s="171">
        <f>IF(AA22=0,0,(AC22/AA22)*AH22)</f>
        <v>0</v>
      </c>
      <c r="AE22" s="171">
        <f t="shared" si="19"/>
        <v>0</v>
      </c>
      <c r="AF22" s="171">
        <f t="shared" si="20"/>
        <v>0</v>
      </c>
      <c r="AH22" s="172">
        <f>IF(VLOOKUP(D22,'Pre-Assessment Estimator'!$E$11:$Z$224,'Pre-Assessment Estimator'!$G$2,FALSE)&gt;AA22,AA22,VLOOKUP(D22,'Pre-Assessment Estimator'!$E$11:$Z$224,'Pre-Assessment Estimator'!$G$2,FALSE))</f>
        <v>0</v>
      </c>
      <c r="AI22" s="172">
        <f>IF(VLOOKUP(D22,'Pre-Assessment Estimator'!$E$11:$Z$224,'Pre-Assessment Estimator'!$N$2,FALSE)&gt;AA22,AA22,VLOOKUP(D22,'Pre-Assessment Estimator'!$E$11:$Z$224,'Pre-Assessment Estimator'!$N$2,FALSE))</f>
        <v>0</v>
      </c>
      <c r="AJ22" s="172">
        <f>IF(VLOOKUP(D22,'Pre-Assessment Estimator'!$E$11:$Z$224,'Pre-Assessment Estimator'!$U$2,FALSE)&gt;AA22,AA22,VLOOKUP(D22,'Pre-Assessment Estimator'!$E$11:$Z$224,'Pre-Assessment Estimator'!$U$2,FALSE))</f>
        <v>0</v>
      </c>
      <c r="AL22" s="1017">
        <v>1</v>
      </c>
      <c r="AM22" s="1018">
        <v>1</v>
      </c>
      <c r="AN22" s="1018">
        <v>1</v>
      </c>
      <c r="AO22" s="1018">
        <v>1</v>
      </c>
      <c r="AP22" s="1016">
        <v>1</v>
      </c>
      <c r="AQ22" s="137"/>
      <c r="AR22" s="1017">
        <v>1</v>
      </c>
      <c r="AS22" s="1018">
        <v>1</v>
      </c>
      <c r="AT22" s="1018">
        <v>1</v>
      </c>
      <c r="AU22" s="1018">
        <v>1</v>
      </c>
      <c r="AV22" s="1016">
        <v>1</v>
      </c>
      <c r="AW22" s="141"/>
      <c r="AX22" s="183">
        <f>IF($D$6=$G$9,AR22,AL22)</f>
        <v>1</v>
      </c>
      <c r="AY22" s="183">
        <f>IF($D$6=$G$9,AS22,AM22)</f>
        <v>1</v>
      </c>
      <c r="AZ22" s="183">
        <f>IF($D$6=$G$9,AT22,AN22)</f>
        <v>1</v>
      </c>
      <c r="BA22" s="183">
        <f>IF($D$6=$G$9,AU22,AO22)</f>
        <v>1</v>
      </c>
      <c r="BB22" s="183">
        <f>IF($D$6=$G$9,AV22,AP22)</f>
        <v>1</v>
      </c>
      <c r="BC22" s="182">
        <f t="shared" si="29"/>
        <v>0</v>
      </c>
      <c r="BD22" s="164" t="str">
        <f t="shared" si="7"/>
        <v>Unclassified</v>
      </c>
      <c r="BE22" s="185"/>
      <c r="BF22" s="182">
        <f t="shared" ref="BF22:BF34" si="34">IF(BB22=0,9,IF(AI22&gt;=BB22,5,IF(AI22&gt;=BA22,4,IF(AI22&gt;=AZ22,3,IF(AI22&gt;=AY22,2,IF(AI22&lt;AX22,0,1))))))</f>
        <v>0</v>
      </c>
      <c r="BG22" s="164" t="str">
        <f t="shared" si="9"/>
        <v>Unclassified</v>
      </c>
      <c r="BH22" s="185"/>
      <c r="BI22" s="182">
        <f t="shared" ref="BI22:BI34" si="35">IF(BB22=0,9,IF(AJ22&gt;=BB22,5,IF(AJ22&gt;=BA22,4,IF(AJ22&gt;=AZ22,3,IF(AJ22&gt;=AY22,2,IF(AJ22&lt;AX22,0,1))))))</f>
        <v>0</v>
      </c>
      <c r="BJ22" s="164" t="str">
        <f t="shared" si="10"/>
        <v>Unclassified</v>
      </c>
      <c r="BK22" s="185"/>
      <c r="BN22" s="167"/>
      <c r="BO22" s="167">
        <v>1</v>
      </c>
      <c r="BP22" s="167">
        <f t="shared" si="15"/>
        <v>1</v>
      </c>
      <c r="BQ22" s="167">
        <f t="shared" si="21"/>
        <v>0</v>
      </c>
      <c r="BR22" s="167">
        <f t="shared" si="17"/>
        <v>0</v>
      </c>
      <c r="BS22" s="167">
        <f t="shared" si="18"/>
        <v>0</v>
      </c>
      <c r="BV22" s="685"/>
      <c r="BW22" s="685"/>
      <c r="BX22" s="287"/>
      <c r="BY22" s="287"/>
      <c r="BZ22" s="287"/>
      <c r="CA22" s="287"/>
    </row>
    <row r="23" spans="1:80" x14ac:dyDescent="0.25">
      <c r="A23" s="96">
        <v>15</v>
      </c>
      <c r="B23" s="96" t="str">
        <f t="shared" si="33"/>
        <v>Man 03d</v>
      </c>
      <c r="C23" s="167" t="s">
        <v>698</v>
      </c>
      <c r="D23" s="1122" t="s">
        <v>1008</v>
      </c>
      <c r="E23" s="788">
        <v>1</v>
      </c>
      <c r="F23" s="788">
        <v>1</v>
      </c>
      <c r="G23" s="788">
        <v>1</v>
      </c>
      <c r="H23" s="788">
        <v>1</v>
      </c>
      <c r="I23" s="788">
        <v>1</v>
      </c>
      <c r="J23" s="788">
        <v>1</v>
      </c>
      <c r="K23" s="788">
        <v>1</v>
      </c>
      <c r="L23" s="788">
        <v>1</v>
      </c>
      <c r="M23" s="788">
        <v>1</v>
      </c>
      <c r="N23" s="788">
        <v>1</v>
      </c>
      <c r="O23" s="788">
        <v>1</v>
      </c>
      <c r="P23" s="788">
        <v>1</v>
      </c>
      <c r="Q23" s="788">
        <v>1</v>
      </c>
      <c r="S23" s="165">
        <f t="shared" si="2"/>
        <v>1</v>
      </c>
      <c r="T23" s="166"/>
      <c r="U23" s="167"/>
      <c r="V23" s="167"/>
      <c r="W23" s="168"/>
      <c r="X23" s="169"/>
      <c r="Y23" s="1175">
        <f>VLOOKUP(B23,'Manuell filtrering og justering'!$A$7:$H$107,'Manuell filtrering og justering'!$H$1,FALSE)</f>
        <v>1</v>
      </c>
      <c r="Z23" s="1185">
        <f t="shared" si="4"/>
        <v>0</v>
      </c>
      <c r="AA23" s="185">
        <f>IF($AB$5='Manuell filtrering og justering'!$J$2,Y23,(S23-Z23))</f>
        <v>1</v>
      </c>
      <c r="AC23" s="171">
        <f t="shared" ref="AC23:AC24" si="36">(Man_Weight/Man_Credits)*AA23</f>
        <v>6.1904761904761907E-3</v>
      </c>
      <c r="AD23" s="171">
        <f t="shared" ref="AD23:AD24" si="37">IF(AA23=0,0,(AC23/AA23)*AH23)</f>
        <v>0</v>
      </c>
      <c r="AE23" s="171">
        <f t="shared" ref="AE23:AE24" si="38">IF(AA23=0,0,(AC23/AA23)*AI23)</f>
        <v>0</v>
      </c>
      <c r="AF23" s="171">
        <f t="shared" ref="AF23:AF24" si="39">IF(AA23=0,0,(AC23/AA23)*AJ23)</f>
        <v>0</v>
      </c>
      <c r="AH23" s="172">
        <f>IF(VLOOKUP(D23,'Pre-Assessment Estimator'!$E$11:$Z$224,'Pre-Assessment Estimator'!$G$2,FALSE)&gt;AA23,AA23,VLOOKUP(D23,'Pre-Assessment Estimator'!$E$11:$Z$224,'Pre-Assessment Estimator'!$G$2,FALSE))</f>
        <v>0</v>
      </c>
      <c r="AI23" s="172">
        <f>IF(VLOOKUP(D23,'Pre-Assessment Estimator'!$E$11:$Z$224,'Pre-Assessment Estimator'!$N$2,FALSE)&gt;AA23,AA23,VLOOKUP(D23,'Pre-Assessment Estimator'!$E$11:$Z$224,'Pre-Assessment Estimator'!$N$2,FALSE))</f>
        <v>0</v>
      </c>
      <c r="AJ23" s="172">
        <f>IF(VLOOKUP(D23,'Pre-Assessment Estimator'!$E$11:$Z$224,'Pre-Assessment Estimator'!$U$2,FALSE)&gt;AA23,AA23,VLOOKUP(D23,'Pre-Assessment Estimator'!$E$11:$Z$224,'Pre-Assessment Estimator'!$U$2,FALSE))</f>
        <v>0</v>
      </c>
      <c r="AL23" s="1017"/>
      <c r="AM23" s="1018"/>
      <c r="AN23" s="1018">
        <v>1</v>
      </c>
      <c r="AO23" s="1018">
        <v>1</v>
      </c>
      <c r="AP23" s="1016">
        <v>1</v>
      </c>
      <c r="AQ23" s="137"/>
      <c r="AR23" s="1017"/>
      <c r="AS23" s="1018"/>
      <c r="AT23" s="1018">
        <v>1</v>
      </c>
      <c r="AU23" s="1018">
        <v>1</v>
      </c>
      <c r="AV23" s="1016">
        <v>1</v>
      </c>
      <c r="AW23" s="141"/>
      <c r="AX23" s="1033"/>
      <c r="AY23" s="183"/>
      <c r="AZ23" s="183">
        <f>IF($D$6=$G$9,AT23,AN23)</f>
        <v>1</v>
      </c>
      <c r="BA23" s="183">
        <f>IF($D$6=$G$9,AU23,AO23)</f>
        <v>1</v>
      </c>
      <c r="BB23" s="183">
        <f>IF($D$6=$G$9,AV23,AP23)</f>
        <v>1</v>
      </c>
      <c r="BC23" s="182">
        <f t="shared" ref="BC23" si="40">IF(BB23=0,9,IF(AH23&gt;=BB23,5,IF(AH23&gt;=BA23,4,IF(AH23&gt;=AZ23,3,IF(AH23&gt;=AY23,2,IF(AH23&lt;AX23,0,1))))))</f>
        <v>2</v>
      </c>
      <c r="BD23" s="164" t="str">
        <f t="shared" si="7"/>
        <v>Good</v>
      </c>
      <c r="BE23" s="185"/>
      <c r="BF23" s="182">
        <f t="shared" ref="BF23" si="41">IF(BB23=0,9,IF(AI23&gt;=BB23,5,IF(AI23&gt;=BA23,4,IF(AI23&gt;=AZ23,3,IF(AI23&gt;=AY23,2,IF(AI23&lt;AX23,0,1))))))</f>
        <v>2</v>
      </c>
      <c r="BG23" s="164" t="str">
        <f t="shared" si="9"/>
        <v>Good</v>
      </c>
      <c r="BH23" s="185"/>
      <c r="BI23" s="182">
        <f t="shared" ref="BI23" si="42">IF(BB23=0,9,IF(AJ23&gt;=BB23,5,IF(AJ23&gt;=BA23,4,IF(AJ23&gt;=AZ23,3,IF(AJ23&gt;=AY23,2,IF(AJ23&lt;AX23,0,1))))))</f>
        <v>2</v>
      </c>
      <c r="BJ23" s="164" t="str">
        <f t="shared" si="10"/>
        <v>Good</v>
      </c>
      <c r="BK23" s="185"/>
      <c r="BN23" s="167"/>
      <c r="BO23" s="167">
        <v>1</v>
      </c>
      <c r="BP23" s="167">
        <f t="shared" si="15"/>
        <v>1</v>
      </c>
      <c r="BQ23" s="167">
        <f t="shared" si="21"/>
        <v>0</v>
      </c>
      <c r="BR23" s="167">
        <f t="shared" si="17"/>
        <v>0</v>
      </c>
      <c r="BS23" s="167">
        <f t="shared" si="18"/>
        <v>0</v>
      </c>
      <c r="BV23" s="685"/>
      <c r="BW23" s="685"/>
      <c r="BX23" s="287"/>
      <c r="BY23" s="287"/>
      <c r="BZ23" s="287"/>
      <c r="CA23" s="287"/>
    </row>
    <row r="24" spans="1:80" x14ac:dyDescent="0.25">
      <c r="A24" s="96">
        <v>16</v>
      </c>
      <c r="B24" s="96" t="str">
        <f t="shared" si="33"/>
        <v>Man 03e</v>
      </c>
      <c r="C24" s="167" t="s">
        <v>697</v>
      </c>
      <c r="D24" s="1122" t="s">
        <v>1009</v>
      </c>
      <c r="E24" s="788">
        <v>1</v>
      </c>
      <c r="F24" s="788">
        <v>1</v>
      </c>
      <c r="G24" s="788">
        <v>1</v>
      </c>
      <c r="H24" s="788">
        <v>1</v>
      </c>
      <c r="I24" s="788">
        <v>1</v>
      </c>
      <c r="J24" s="788">
        <v>1</v>
      </c>
      <c r="K24" s="788">
        <v>1</v>
      </c>
      <c r="L24" s="788">
        <v>1</v>
      </c>
      <c r="M24" s="788">
        <v>1</v>
      </c>
      <c r="N24" s="788">
        <v>1</v>
      </c>
      <c r="O24" s="788">
        <v>1</v>
      </c>
      <c r="P24" s="788">
        <v>1</v>
      </c>
      <c r="Q24" s="788">
        <v>1</v>
      </c>
      <c r="S24" s="165">
        <f t="shared" si="2"/>
        <v>1</v>
      </c>
      <c r="T24" s="166"/>
      <c r="U24" s="167"/>
      <c r="V24" s="167"/>
      <c r="W24" s="168"/>
      <c r="X24" s="169"/>
      <c r="Y24" s="1175">
        <f>VLOOKUP(B24,'Manuell filtrering og justering'!$A$7:$H$107,'Manuell filtrering og justering'!$H$1,FALSE)</f>
        <v>1</v>
      </c>
      <c r="Z24" s="1185">
        <f t="shared" si="4"/>
        <v>0</v>
      </c>
      <c r="AA24" s="185">
        <f>IF($AB$5='Manuell filtrering og justering'!$J$2,Y24,(S24-Z24))</f>
        <v>1</v>
      </c>
      <c r="AC24" s="171">
        <f t="shared" si="36"/>
        <v>6.1904761904761907E-3</v>
      </c>
      <c r="AD24" s="171">
        <f t="shared" si="37"/>
        <v>0</v>
      </c>
      <c r="AE24" s="171">
        <f t="shared" si="38"/>
        <v>0</v>
      </c>
      <c r="AF24" s="171">
        <f t="shared" si="39"/>
        <v>0</v>
      </c>
      <c r="AH24" s="172">
        <f>IF(VLOOKUP(D24,'Pre-Assessment Estimator'!$E$11:$Z$224,'Pre-Assessment Estimator'!$G$2,FALSE)&gt;AA24,AA24,VLOOKUP(D24,'Pre-Assessment Estimator'!$E$11:$Z$224,'Pre-Assessment Estimator'!$G$2,FALSE))</f>
        <v>0</v>
      </c>
      <c r="AI24" s="172">
        <f>IF(VLOOKUP(D24,'Pre-Assessment Estimator'!$E$11:$Z$224,'Pre-Assessment Estimator'!$N$2,FALSE)&gt;AA24,AA24,VLOOKUP(D24,'Pre-Assessment Estimator'!$E$11:$Z$224,'Pre-Assessment Estimator'!$N$2,FALSE))</f>
        <v>0</v>
      </c>
      <c r="AJ24" s="172">
        <f>IF(VLOOKUP(D24,'Pre-Assessment Estimator'!$E$11:$Z$224,'Pre-Assessment Estimator'!$U$2,FALSE)&gt;AA24,AA24,VLOOKUP(D24,'Pre-Assessment Estimator'!$E$11:$Z$224,'Pre-Assessment Estimator'!$U$2,FALSE))</f>
        <v>0</v>
      </c>
      <c r="AL24" s="1017"/>
      <c r="AM24" s="1018"/>
      <c r="AN24" s="1018"/>
      <c r="AO24" s="1018"/>
      <c r="AP24" s="1016"/>
      <c r="AQ24" s="137"/>
      <c r="AR24" s="1017"/>
      <c r="AS24" s="1018"/>
      <c r="AT24" s="1018"/>
      <c r="AU24" s="1018"/>
      <c r="AV24" s="1016"/>
      <c r="AW24" s="141"/>
      <c r="AX24" s="1033"/>
      <c r="AY24" s="183"/>
      <c r="AZ24" s="183"/>
      <c r="BA24" s="183"/>
      <c r="BB24" s="183"/>
      <c r="BC24" s="1019">
        <f>BC25</f>
        <v>3</v>
      </c>
      <c r="BD24" s="164" t="str">
        <f t="shared" si="7"/>
        <v>Very Good</v>
      </c>
      <c r="BE24" s="185"/>
      <c r="BF24" s="1019">
        <f>BF25</f>
        <v>3</v>
      </c>
      <c r="BG24" s="164" t="str">
        <f t="shared" si="9"/>
        <v>Very Good</v>
      </c>
      <c r="BH24" s="185"/>
      <c r="BI24" s="1019">
        <f>BI25</f>
        <v>3</v>
      </c>
      <c r="BJ24" s="164" t="str">
        <f t="shared" si="10"/>
        <v>Very Good</v>
      </c>
      <c r="BK24" s="185"/>
      <c r="BN24" s="167"/>
      <c r="BO24" s="167">
        <v>1</v>
      </c>
      <c r="BP24" s="167">
        <f t="shared" si="15"/>
        <v>1</v>
      </c>
      <c r="BQ24" s="167">
        <f t="shared" si="21"/>
        <v>0</v>
      </c>
      <c r="BR24" s="167">
        <f t="shared" si="17"/>
        <v>0</v>
      </c>
      <c r="BS24" s="167">
        <f t="shared" si="18"/>
        <v>0</v>
      </c>
      <c r="BV24" s="685"/>
      <c r="BW24" s="685"/>
      <c r="BX24" s="287"/>
      <c r="BY24" s="287"/>
      <c r="BZ24" s="287"/>
      <c r="CA24" s="287"/>
    </row>
    <row r="25" spans="1:80" x14ac:dyDescent="0.25">
      <c r="A25" s="96">
        <v>17</v>
      </c>
      <c r="B25" s="96" t="str">
        <f t="shared" si="33"/>
        <v>Man 03f</v>
      </c>
      <c r="C25" s="167" t="s">
        <v>913</v>
      </c>
      <c r="D25" s="1122" t="s">
        <v>1010</v>
      </c>
      <c r="E25" s="788">
        <v>2</v>
      </c>
      <c r="F25" s="788">
        <v>2</v>
      </c>
      <c r="G25" s="788">
        <v>2</v>
      </c>
      <c r="H25" s="788">
        <v>2</v>
      </c>
      <c r="I25" s="788">
        <v>2</v>
      </c>
      <c r="J25" s="788">
        <v>2</v>
      </c>
      <c r="K25" s="788">
        <v>2</v>
      </c>
      <c r="L25" s="788">
        <v>2</v>
      </c>
      <c r="M25" s="788">
        <v>2</v>
      </c>
      <c r="N25" s="788">
        <v>2</v>
      </c>
      <c r="O25" s="788">
        <v>2</v>
      </c>
      <c r="P25" s="788">
        <v>2</v>
      </c>
      <c r="Q25" s="788">
        <v>2</v>
      </c>
      <c r="S25" s="165">
        <f t="shared" si="2"/>
        <v>2</v>
      </c>
      <c r="T25" s="166"/>
      <c r="U25" s="167"/>
      <c r="V25" s="167"/>
      <c r="W25" s="168"/>
      <c r="X25" s="169"/>
      <c r="Y25" s="1175">
        <f>VLOOKUP(B25,'Manuell filtrering og justering'!$A$7:$H$107,'Manuell filtrering og justering'!$H$1,FALSE)</f>
        <v>0</v>
      </c>
      <c r="Z25" s="1185">
        <f t="shared" si="4"/>
        <v>0</v>
      </c>
      <c r="AA25" s="185">
        <f>IF($AB$5='Manuell filtrering og justering'!$J$2,Y25,(S25-Z25))</f>
        <v>2</v>
      </c>
      <c r="AC25" s="171">
        <f t="shared" si="5"/>
        <v>1.2380952380952381E-2</v>
      </c>
      <c r="AD25" s="171">
        <f>IF(AA25=0,0,(AC25/AA25)*AH25)</f>
        <v>0</v>
      </c>
      <c r="AE25" s="171">
        <f t="shared" si="19"/>
        <v>0</v>
      </c>
      <c r="AF25" s="171">
        <f t="shared" si="20"/>
        <v>0</v>
      </c>
      <c r="AH25" s="172">
        <f>IF(VLOOKUP(D25,'Pre-Assessment Estimator'!$E$11:$Z$224,'Pre-Assessment Estimator'!$G$2,FALSE)&gt;AA25,AA25,VLOOKUP(D25,'Pre-Assessment Estimator'!$E$11:$Z$224,'Pre-Assessment Estimator'!$G$2,FALSE))</f>
        <v>0</v>
      </c>
      <c r="AI25" s="172">
        <f>IF(VLOOKUP(D25,'Pre-Assessment Estimator'!$E$11:$Z$224,'Pre-Assessment Estimator'!$N$2,FALSE)&gt;AA25,AA25,VLOOKUP(D25,'Pre-Assessment Estimator'!$E$11:$Z$224,'Pre-Assessment Estimator'!$N$2,FALSE))</f>
        <v>0</v>
      </c>
      <c r="AJ25" s="172">
        <f>IF(VLOOKUP(D25,'Pre-Assessment Estimator'!$E$11:$Z$224,'Pre-Assessment Estimator'!$U$2,FALSE)&gt;AA25,AA25,VLOOKUP(D25,'Pre-Assessment Estimator'!$E$11:$Z$224,'Pre-Assessment Estimator'!$U$2,FALSE))</f>
        <v>0</v>
      </c>
      <c r="AL25" s="1017"/>
      <c r="AM25" s="1018"/>
      <c r="AN25" s="1018"/>
      <c r="AO25" s="1034">
        <v>3</v>
      </c>
      <c r="AP25" s="1035">
        <v>3</v>
      </c>
      <c r="AQ25" s="137"/>
      <c r="AR25" s="1017"/>
      <c r="AS25" s="1018"/>
      <c r="AT25" s="1018"/>
      <c r="AU25" s="1034">
        <v>3</v>
      </c>
      <c r="AV25" s="1035">
        <v>3</v>
      </c>
      <c r="AW25" s="141"/>
      <c r="AX25" s="182"/>
      <c r="AY25" s="183"/>
      <c r="AZ25" s="183"/>
      <c r="BA25" s="183">
        <f>IF($D$6=$G$9,AU25,AO25)</f>
        <v>3</v>
      </c>
      <c r="BB25" s="183">
        <f>IF($D$6=$G$9,AV25,AP25)</f>
        <v>3</v>
      </c>
      <c r="BC25" s="1019">
        <f>IF(BB25=0,9,IF((AH25+AH24)&gt;=BB25,5,IF((AH25+AH24)&gt;=BA25,4,IF((AH25+AH24)&gt;=AZ25,3,IF((AH25+AH24)&gt;=AY25,2,IF((AH25+AH24)&lt;AX25,0,1))))))</f>
        <v>3</v>
      </c>
      <c r="BD25" s="164" t="str">
        <f t="shared" si="7"/>
        <v>Very Good</v>
      </c>
      <c r="BE25" s="185"/>
      <c r="BF25" s="1019">
        <f>IF(BB25=0,9,IF((AI25+AI24)&gt;=BB25,5,IF((AI25+AI24)&gt;=BA25,4,IF((AI25+AI24)&gt;=AZ25,3,IF((AI25+AI24)&gt;=AY25,2,IF((AI25+AI24)&lt;AX25,0,1))))))</f>
        <v>3</v>
      </c>
      <c r="BG25" s="164" t="str">
        <f t="shared" si="9"/>
        <v>Very Good</v>
      </c>
      <c r="BH25" s="185"/>
      <c r="BI25" s="1019">
        <f>IF(BB25=0,9,IF((AJ25+AJ24)&gt;=BB25,5,IF((AJ25+AJ24)&gt;=BA25,4,IF((AJ25+AJ24)&gt;=AZ25,3,IF((AJ25+AJ24)&gt;=AY25,2,IF((AJ25+AJ24)&lt;AX25,0,1))))))</f>
        <v>3</v>
      </c>
      <c r="BJ25" s="164" t="str">
        <f t="shared" si="10"/>
        <v>Very Good</v>
      </c>
      <c r="BK25" s="185"/>
      <c r="BN25" s="167"/>
      <c r="BO25" s="167">
        <v>2</v>
      </c>
      <c r="BP25" s="167">
        <f t="shared" si="15"/>
        <v>2</v>
      </c>
      <c r="BQ25" s="167">
        <f t="shared" si="21"/>
        <v>0</v>
      </c>
      <c r="BR25" s="167">
        <f t="shared" si="17"/>
        <v>0</v>
      </c>
      <c r="BS25" s="167">
        <f t="shared" si="18"/>
        <v>0</v>
      </c>
      <c r="BV25" s="685"/>
      <c r="BW25" s="685"/>
      <c r="BX25" s="287"/>
      <c r="BY25" s="287"/>
      <c r="BZ25" s="287"/>
      <c r="CA25" s="287"/>
    </row>
    <row r="26" spans="1:80" x14ac:dyDescent="0.25">
      <c r="A26" s="96">
        <v>18</v>
      </c>
      <c r="B26" s="137" t="str">
        <f>C26</f>
        <v>Man 04</v>
      </c>
      <c r="C26" s="845" t="s">
        <v>97</v>
      </c>
      <c r="D26" s="845" t="s">
        <v>398</v>
      </c>
      <c r="E26" s="947">
        <f>SUM(E27:E29)</f>
        <v>3</v>
      </c>
      <c r="F26" s="947">
        <f t="shared" ref="F26:Q26" si="43">SUM(F27:F29)</f>
        <v>3</v>
      </c>
      <c r="G26" s="947">
        <f t="shared" si="43"/>
        <v>3</v>
      </c>
      <c r="H26" s="947">
        <f t="shared" si="43"/>
        <v>3</v>
      </c>
      <c r="I26" s="947">
        <f t="shared" si="43"/>
        <v>3</v>
      </c>
      <c r="J26" s="947">
        <f t="shared" si="43"/>
        <v>3</v>
      </c>
      <c r="K26" s="947">
        <f t="shared" si="43"/>
        <v>3</v>
      </c>
      <c r="L26" s="947">
        <f t="shared" si="43"/>
        <v>3</v>
      </c>
      <c r="M26" s="947">
        <f t="shared" si="43"/>
        <v>3</v>
      </c>
      <c r="N26" s="947">
        <f t="shared" si="43"/>
        <v>3</v>
      </c>
      <c r="O26" s="947">
        <f t="shared" si="43"/>
        <v>3</v>
      </c>
      <c r="P26" s="947">
        <f t="shared" ref="P26" si="44">SUM(P27:P29)</f>
        <v>3</v>
      </c>
      <c r="Q26" s="947">
        <f t="shared" si="43"/>
        <v>3</v>
      </c>
      <c r="S26" s="933">
        <f t="shared" si="2"/>
        <v>3</v>
      </c>
      <c r="T26" s="166"/>
      <c r="U26" s="167"/>
      <c r="V26" s="167"/>
      <c r="W26" s="168">
        <f>'Manuell filtrering og justering'!E10</f>
        <v>0</v>
      </c>
      <c r="X26" s="169"/>
      <c r="Y26" s="1193">
        <f t="shared" ref="Y26" si="45">SUM(Y27:Y29)</f>
        <v>3</v>
      </c>
      <c r="Z26" s="1185">
        <f t="shared" si="4"/>
        <v>0</v>
      </c>
      <c r="AA26" s="1189">
        <f>SUM(AA27:AA29)</f>
        <v>3</v>
      </c>
      <c r="AC26" s="935">
        <f t="shared" si="5"/>
        <v>1.8571428571428572E-2</v>
      </c>
      <c r="AD26" s="935">
        <f>SUM(AD27:AD29)</f>
        <v>0</v>
      </c>
      <c r="AE26" s="935">
        <f>SUM(AE27:AE29)</f>
        <v>0</v>
      </c>
      <c r="AF26" s="935">
        <f>SUM(AF27:AF29)</f>
        <v>0</v>
      </c>
      <c r="AH26" s="936">
        <f t="shared" ref="AH26:AJ26" si="46">SUM(AH27:AH29)</f>
        <v>0</v>
      </c>
      <c r="AI26" s="936">
        <f t="shared" si="46"/>
        <v>0</v>
      </c>
      <c r="AJ26" s="936">
        <f t="shared" si="46"/>
        <v>0</v>
      </c>
      <c r="AL26" s="291"/>
      <c r="AM26" s="181"/>
      <c r="AN26" s="181"/>
      <c r="AO26" s="181"/>
      <c r="AP26" s="186"/>
      <c r="AR26" s="291"/>
      <c r="AS26" s="181"/>
      <c r="AT26" s="181"/>
      <c r="AU26" s="181"/>
      <c r="AV26" s="186"/>
      <c r="AW26" s="141"/>
      <c r="AX26" s="182"/>
      <c r="AY26" s="183"/>
      <c r="AZ26" s="183"/>
      <c r="BA26" s="183"/>
      <c r="BB26" s="187"/>
      <c r="BC26" s="182">
        <f t="shared" si="29"/>
        <v>9</v>
      </c>
      <c r="BD26" s="164" t="str">
        <f t="shared" si="7"/>
        <v>N/A</v>
      </c>
      <c r="BE26" s="185"/>
      <c r="BF26" s="182">
        <f t="shared" si="34"/>
        <v>9</v>
      </c>
      <c r="BG26" s="164" t="str">
        <f t="shared" si="9"/>
        <v>N/A</v>
      </c>
      <c r="BH26" s="185"/>
      <c r="BI26" s="182">
        <f t="shared" si="35"/>
        <v>9</v>
      </c>
      <c r="BJ26" s="164" t="str">
        <f t="shared" si="10"/>
        <v>N/A</v>
      </c>
      <c r="BK26" s="185"/>
      <c r="BN26" s="167"/>
      <c r="BO26" s="167"/>
      <c r="BP26" s="167" t="str">
        <f t="shared" si="15"/>
        <v/>
      </c>
      <c r="BQ26" s="167">
        <f t="shared" si="21"/>
        <v>9</v>
      </c>
      <c r="BR26" s="167">
        <f t="shared" si="17"/>
        <v>9</v>
      </c>
      <c r="BS26" s="167">
        <f t="shared" si="18"/>
        <v>9</v>
      </c>
      <c r="BV26" s="685" t="str">
        <f>C26</f>
        <v>Man 04</v>
      </c>
      <c r="BW26" s="685" t="str">
        <f>IFERROR(VLOOKUP($D26,'Pre-Assessment Estimator'!$E$11:$AB$224,'Pre-Assessment Estimator'!AB$2,FALSE),"")</f>
        <v>No</v>
      </c>
      <c r="BX26" s="287">
        <f>IFERROR(VLOOKUP($D26,'Pre-Assessment Estimator'!$E$11:$AI$224,'Pre-Assessment Estimator'!AI$2,FALSE),"")</f>
        <v>0</v>
      </c>
      <c r="BY26" s="287">
        <f>IFERROR(VLOOKUP($BW26,$D$291:$G$324,E$289,FALSE),"")</f>
        <v>1</v>
      </c>
      <c r="BZ26" s="287">
        <f>IFERROR(VLOOKUP($BW26,$D$291:$G$324,F$289,FALSE),"")</f>
        <v>0</v>
      </c>
      <c r="CA26" s="287"/>
      <c r="CB26" s="96" t="str">
        <f>IFERROR(VLOOKUP($BW26,$D$291:$G$324,H$289,FALSE),"")</f>
        <v/>
      </c>
    </row>
    <row r="27" spans="1:80" x14ac:dyDescent="0.25">
      <c r="A27" s="96">
        <v>19</v>
      </c>
      <c r="B27" s="96" t="str">
        <f t="shared" ref="B27:B29" si="47">$C$26&amp;C27</f>
        <v>Man 04a</v>
      </c>
      <c r="C27" s="167" t="s">
        <v>696</v>
      </c>
      <c r="D27" s="1122" t="s">
        <v>600</v>
      </c>
      <c r="E27" s="788">
        <v>1</v>
      </c>
      <c r="F27" s="788">
        <v>1</v>
      </c>
      <c r="G27" s="788">
        <v>1</v>
      </c>
      <c r="H27" s="788">
        <v>1</v>
      </c>
      <c r="I27" s="788">
        <v>1</v>
      </c>
      <c r="J27" s="788">
        <v>1</v>
      </c>
      <c r="K27" s="788">
        <v>1</v>
      </c>
      <c r="L27" s="788">
        <v>1</v>
      </c>
      <c r="M27" s="788">
        <v>1</v>
      </c>
      <c r="N27" s="788">
        <v>1</v>
      </c>
      <c r="O27" s="788">
        <v>1</v>
      </c>
      <c r="P27" s="788">
        <v>1</v>
      </c>
      <c r="Q27" s="788">
        <v>1</v>
      </c>
      <c r="S27" s="165">
        <f t="shared" si="2"/>
        <v>1</v>
      </c>
      <c r="T27" s="166"/>
      <c r="U27" s="167"/>
      <c r="V27" s="167"/>
      <c r="W27" s="168"/>
      <c r="X27" s="169"/>
      <c r="Y27" s="1175">
        <f>VLOOKUP(B27,'Manuell filtrering og justering'!$A$7:$H$107,'Manuell filtrering og justering'!$H$1,FALSE)</f>
        <v>1</v>
      </c>
      <c r="Z27" s="1185">
        <f t="shared" si="4"/>
        <v>0</v>
      </c>
      <c r="AA27" s="185">
        <f>IF($AB$5='Manuell filtrering og justering'!$J$2,Y27,(S27-Z27))</f>
        <v>1</v>
      </c>
      <c r="AC27" s="171">
        <f t="shared" si="5"/>
        <v>6.1904761904761907E-3</v>
      </c>
      <c r="AD27" s="171">
        <f>IF(AA27=0,0,(AC27/AA27)*AH27)</f>
        <v>0</v>
      </c>
      <c r="AE27" s="171">
        <f t="shared" si="19"/>
        <v>0</v>
      </c>
      <c r="AF27" s="171">
        <f t="shared" si="20"/>
        <v>0</v>
      </c>
      <c r="AH27" s="172">
        <f>IF(VLOOKUP(D27,'Pre-Assessment Estimator'!$E$11:$Z$224,'Pre-Assessment Estimator'!$G$2,FALSE)&gt;AA27,AA27,VLOOKUP(D27,'Pre-Assessment Estimator'!$E$11:$Z$224,'Pre-Assessment Estimator'!$G$2,FALSE))</f>
        <v>0</v>
      </c>
      <c r="AI27" s="172">
        <f>IF(VLOOKUP(D27,'Pre-Assessment Estimator'!$E$11:$Z$224,'Pre-Assessment Estimator'!$N$2,FALSE)&gt;AA27,AA27,VLOOKUP(D27,'Pre-Assessment Estimator'!$E$11:$Z$224,'Pre-Assessment Estimator'!$N$2,FALSE))</f>
        <v>0</v>
      </c>
      <c r="AJ27" s="172">
        <f>IF(VLOOKUP(D27,'Pre-Assessment Estimator'!$E$11:$Z$224,'Pre-Assessment Estimator'!$U$2,FALSE)&gt;AA27,AA27,VLOOKUP(D27,'Pre-Assessment Estimator'!$E$11:$Z$224,'Pre-Assessment Estimator'!$U$2,FALSE))</f>
        <v>0</v>
      </c>
      <c r="AL27" s="291">
        <v>1</v>
      </c>
      <c r="AM27" s="181">
        <v>1</v>
      </c>
      <c r="AN27" s="181">
        <v>1</v>
      </c>
      <c r="AO27" s="181">
        <v>1</v>
      </c>
      <c r="AP27" s="186">
        <v>1</v>
      </c>
      <c r="AR27" s="291">
        <v>1</v>
      </c>
      <c r="AS27" s="181">
        <v>1</v>
      </c>
      <c r="AT27" s="181">
        <v>1</v>
      </c>
      <c r="AU27" s="181">
        <v>1</v>
      </c>
      <c r="AV27" s="186">
        <v>1</v>
      </c>
      <c r="AW27" s="141"/>
      <c r="AX27" s="183">
        <f>IF($D$6=$G$9,AR27,AL27)</f>
        <v>1</v>
      </c>
      <c r="AY27" s="183">
        <f>IF($D$6=$G$9,AS27,AM27)</f>
        <v>1</v>
      </c>
      <c r="AZ27" s="183">
        <f>IF($D$6=$G$9,AT27,AN27)</f>
        <v>1</v>
      </c>
      <c r="BA27" s="183">
        <f>IF($D$6=$G$9,AU27,AO27)</f>
        <v>1</v>
      </c>
      <c r="BB27" s="183">
        <f>IF($D$6=$G$9,AV27,AP27)</f>
        <v>1</v>
      </c>
      <c r="BC27" s="182">
        <f t="shared" si="29"/>
        <v>0</v>
      </c>
      <c r="BD27" s="164" t="str">
        <f t="shared" si="7"/>
        <v>Unclassified</v>
      </c>
      <c r="BE27" s="185"/>
      <c r="BF27" s="182">
        <f t="shared" si="34"/>
        <v>0</v>
      </c>
      <c r="BG27" s="164" t="str">
        <f t="shared" si="9"/>
        <v>Unclassified</v>
      </c>
      <c r="BH27" s="185"/>
      <c r="BI27" s="182">
        <f t="shared" si="35"/>
        <v>0</v>
      </c>
      <c r="BJ27" s="164" t="str">
        <f t="shared" si="10"/>
        <v>Unclassified</v>
      </c>
      <c r="BK27" s="185"/>
      <c r="BN27" s="167"/>
      <c r="BO27" s="167"/>
      <c r="BP27" s="167" t="str">
        <f t="shared" si="15"/>
        <v/>
      </c>
      <c r="BQ27" s="167">
        <f t="shared" si="21"/>
        <v>9</v>
      </c>
      <c r="BR27" s="167">
        <f t="shared" si="17"/>
        <v>9</v>
      </c>
      <c r="BS27" s="167">
        <f t="shared" si="18"/>
        <v>9</v>
      </c>
      <c r="BV27" s="685"/>
      <c r="BW27" s="685"/>
      <c r="BX27" s="287"/>
      <c r="BY27" s="287"/>
      <c r="BZ27" s="287"/>
      <c r="CA27" s="287"/>
    </row>
    <row r="28" spans="1:80" x14ac:dyDescent="0.25">
      <c r="A28" s="96">
        <v>20</v>
      </c>
      <c r="B28" s="96" t="str">
        <f t="shared" si="47"/>
        <v>Man 04b</v>
      </c>
      <c r="C28" s="167" t="s">
        <v>699</v>
      </c>
      <c r="D28" s="1122" t="s">
        <v>601</v>
      </c>
      <c r="E28" s="788">
        <v>1</v>
      </c>
      <c r="F28" s="788">
        <v>1</v>
      </c>
      <c r="G28" s="788">
        <v>1</v>
      </c>
      <c r="H28" s="788">
        <v>1</v>
      </c>
      <c r="I28" s="788">
        <v>1</v>
      </c>
      <c r="J28" s="788">
        <v>1</v>
      </c>
      <c r="K28" s="788">
        <v>1</v>
      </c>
      <c r="L28" s="788">
        <v>1</v>
      </c>
      <c r="M28" s="788">
        <v>1</v>
      </c>
      <c r="N28" s="788">
        <v>1</v>
      </c>
      <c r="O28" s="788">
        <v>1</v>
      </c>
      <c r="P28" s="788">
        <v>1</v>
      </c>
      <c r="Q28" s="788">
        <v>1</v>
      </c>
      <c r="S28" s="165">
        <f t="shared" si="2"/>
        <v>1</v>
      </c>
      <c r="T28" s="166"/>
      <c r="U28" s="167"/>
      <c r="V28" s="167"/>
      <c r="W28" s="168"/>
      <c r="X28" s="169">
        <f>IF($X$4=$X$6,S28,0)</f>
        <v>0</v>
      </c>
      <c r="Y28" s="1175">
        <f>VLOOKUP(B28,'Manuell filtrering og justering'!$A$7:$H$107,'Manuell filtrering og justering'!$H$1,FALSE)</f>
        <v>1</v>
      </c>
      <c r="Z28" s="1185">
        <f t="shared" si="4"/>
        <v>0</v>
      </c>
      <c r="AA28" s="185">
        <f>IF($AB$5='Manuell filtrering og justering'!$J$2,Y28,(S28-Z28))</f>
        <v>1</v>
      </c>
      <c r="AC28" s="171">
        <f t="shared" si="5"/>
        <v>6.1904761904761907E-3</v>
      </c>
      <c r="AD28" s="171">
        <f>IF(AA28=0,0,(AC28/AA28)*AH28)</f>
        <v>0</v>
      </c>
      <c r="AE28" s="171">
        <f t="shared" si="19"/>
        <v>0</v>
      </c>
      <c r="AF28" s="171">
        <f t="shared" si="20"/>
        <v>0</v>
      </c>
      <c r="AH28" s="172">
        <f>IF(VLOOKUP(D28,'Pre-Assessment Estimator'!$E$11:$Z$224,'Pre-Assessment Estimator'!$G$2,FALSE)&gt;AA28,AA28,VLOOKUP(D28,'Pre-Assessment Estimator'!$E$11:$Z$224,'Pre-Assessment Estimator'!$G$2,FALSE))</f>
        <v>0</v>
      </c>
      <c r="AI28" s="172">
        <f>IF(VLOOKUP(D28,'Pre-Assessment Estimator'!$E$11:$Z$224,'Pre-Assessment Estimator'!$N$2,FALSE)&gt;AA28,AA28,VLOOKUP(D28,'Pre-Assessment Estimator'!$E$11:$Z$224,'Pre-Assessment Estimator'!$N$2,FALSE))</f>
        <v>0</v>
      </c>
      <c r="AJ28" s="172">
        <f>IF(VLOOKUP(D28,'Pre-Assessment Estimator'!$E$11:$Z$224,'Pre-Assessment Estimator'!$U$2,FALSE)&gt;AA28,AA28,VLOOKUP(D28,'Pre-Assessment Estimator'!$E$11:$Z$224,'Pre-Assessment Estimator'!$U$2,FALSE))</f>
        <v>0</v>
      </c>
      <c r="AL28" s="291"/>
      <c r="AM28" s="181"/>
      <c r="AN28" s="181"/>
      <c r="AO28" s="181"/>
      <c r="AP28" s="186"/>
      <c r="AR28" s="291"/>
      <c r="AS28" s="181"/>
      <c r="AT28" s="181"/>
      <c r="AU28" s="181"/>
      <c r="AV28" s="186"/>
      <c r="AW28" s="141"/>
      <c r="AX28" s="182"/>
      <c r="AY28" s="183"/>
      <c r="AZ28" s="183"/>
      <c r="BA28" s="183"/>
      <c r="BB28" s="187"/>
      <c r="BC28" s="182">
        <f t="shared" si="29"/>
        <v>9</v>
      </c>
      <c r="BD28" s="164" t="str">
        <f t="shared" si="7"/>
        <v>N/A</v>
      </c>
      <c r="BE28" s="185"/>
      <c r="BF28" s="182">
        <f t="shared" si="34"/>
        <v>9</v>
      </c>
      <c r="BG28" s="164" t="str">
        <f t="shared" si="9"/>
        <v>N/A</v>
      </c>
      <c r="BH28" s="185"/>
      <c r="BI28" s="182">
        <f t="shared" si="35"/>
        <v>9</v>
      </c>
      <c r="BJ28" s="164" t="str">
        <f t="shared" si="10"/>
        <v>N/A</v>
      </c>
      <c r="BK28" s="185"/>
      <c r="BN28" s="167"/>
      <c r="BO28" s="167"/>
      <c r="BP28" s="167" t="str">
        <f t="shared" si="15"/>
        <v/>
      </c>
      <c r="BQ28" s="167">
        <f t="shared" si="21"/>
        <v>9</v>
      </c>
      <c r="BR28" s="167">
        <f t="shared" si="17"/>
        <v>9</v>
      </c>
      <c r="BS28" s="167">
        <f t="shared" si="18"/>
        <v>9</v>
      </c>
      <c r="BV28" s="685"/>
      <c r="BW28" s="685"/>
      <c r="BX28" s="287"/>
      <c r="BY28" s="287"/>
      <c r="BZ28" s="287"/>
      <c r="CA28" s="287"/>
    </row>
    <row r="29" spans="1:80" x14ac:dyDescent="0.25">
      <c r="A29" s="96">
        <v>21</v>
      </c>
      <c r="B29" s="96" t="str">
        <f t="shared" si="47"/>
        <v>Man 04c</v>
      </c>
      <c r="C29" s="167" t="s">
        <v>700</v>
      </c>
      <c r="D29" s="1122" t="s">
        <v>602</v>
      </c>
      <c r="E29" s="788">
        <v>1</v>
      </c>
      <c r="F29" s="788">
        <v>1</v>
      </c>
      <c r="G29" s="788">
        <v>1</v>
      </c>
      <c r="H29" s="788">
        <v>1</v>
      </c>
      <c r="I29" s="788">
        <v>1</v>
      </c>
      <c r="J29" s="788">
        <v>1</v>
      </c>
      <c r="K29" s="788">
        <v>1</v>
      </c>
      <c r="L29" s="788">
        <v>1</v>
      </c>
      <c r="M29" s="788">
        <v>1</v>
      </c>
      <c r="N29" s="788">
        <v>1</v>
      </c>
      <c r="O29" s="788">
        <v>1</v>
      </c>
      <c r="P29" s="788">
        <v>1</v>
      </c>
      <c r="Q29" s="788">
        <v>1</v>
      </c>
      <c r="S29" s="165">
        <f t="shared" si="2"/>
        <v>1</v>
      </c>
      <c r="T29" s="166"/>
      <c r="U29" s="167"/>
      <c r="V29" s="167"/>
      <c r="W29" s="168"/>
      <c r="X29" s="169"/>
      <c r="Y29" s="1175">
        <f>VLOOKUP(B29,'Manuell filtrering og justering'!$A$7:$H$107,'Manuell filtrering og justering'!$H$1,FALSE)</f>
        <v>1</v>
      </c>
      <c r="Z29" s="1185">
        <f t="shared" si="4"/>
        <v>0</v>
      </c>
      <c r="AA29" s="185">
        <f>IF($AB$5='Manuell filtrering og justering'!$J$2,Y29,(S29-Z29))</f>
        <v>1</v>
      </c>
      <c r="AC29" s="171">
        <f t="shared" si="5"/>
        <v>6.1904761904761907E-3</v>
      </c>
      <c r="AD29" s="171">
        <f>IF(AA29=0,0,(AC29/AA29)*AH29)</f>
        <v>0</v>
      </c>
      <c r="AE29" s="171">
        <f t="shared" si="19"/>
        <v>0</v>
      </c>
      <c r="AF29" s="171">
        <f t="shared" si="20"/>
        <v>0</v>
      </c>
      <c r="AH29" s="172">
        <f>IF(VLOOKUP(D29,'Pre-Assessment Estimator'!$E$11:$Z$224,'Pre-Assessment Estimator'!$G$2,FALSE)&gt;AA29,AA29,VLOOKUP(D29,'Pre-Assessment Estimator'!$E$11:$Z$224,'Pre-Assessment Estimator'!$G$2,FALSE))</f>
        <v>0</v>
      </c>
      <c r="AI29" s="172">
        <f>IF(VLOOKUP(D29,'Pre-Assessment Estimator'!$E$11:$Z$224,'Pre-Assessment Estimator'!$N$2,FALSE)&gt;AA29,AA29,VLOOKUP(D29,'Pre-Assessment Estimator'!$E$11:$Z$224,'Pre-Assessment Estimator'!$N$2,FALSE))</f>
        <v>0</v>
      </c>
      <c r="AJ29" s="172">
        <f>IF(VLOOKUP(D29,'Pre-Assessment Estimator'!$E$11:$Z$224,'Pre-Assessment Estimator'!$U$2,FALSE)&gt;AA29,AA29,VLOOKUP(D29,'Pre-Assessment Estimator'!$E$11:$Z$224,'Pre-Assessment Estimator'!$U$2,FALSE))</f>
        <v>0</v>
      </c>
      <c r="AL29" s="291"/>
      <c r="AM29" s="181"/>
      <c r="AN29" s="181">
        <v>1</v>
      </c>
      <c r="AO29" s="181">
        <v>1</v>
      </c>
      <c r="AP29" s="186">
        <v>1</v>
      </c>
      <c r="AR29" s="291"/>
      <c r="AS29" s="181"/>
      <c r="AT29" s="181">
        <v>1</v>
      </c>
      <c r="AU29" s="181">
        <v>1</v>
      </c>
      <c r="AV29" s="186">
        <v>1</v>
      </c>
      <c r="AW29" s="141"/>
      <c r="AX29" s="182"/>
      <c r="AY29" s="183"/>
      <c r="AZ29" s="183">
        <f>IF($D$6=$G$9,AT29,AN29)</f>
        <v>1</v>
      </c>
      <c r="BA29" s="183">
        <f>IF($D$6=$G$9,AU29,AO29)</f>
        <v>1</v>
      </c>
      <c r="BB29" s="183">
        <f>IF($D$6=$G$9,AV29,AP29)</f>
        <v>1</v>
      </c>
      <c r="BC29" s="182">
        <f t="shared" si="29"/>
        <v>2</v>
      </c>
      <c r="BD29" s="164" t="str">
        <f t="shared" si="7"/>
        <v>Good</v>
      </c>
      <c r="BE29" s="185"/>
      <c r="BF29" s="182">
        <f t="shared" si="34"/>
        <v>2</v>
      </c>
      <c r="BG29" s="164" t="str">
        <f t="shared" si="9"/>
        <v>Good</v>
      </c>
      <c r="BH29" s="185"/>
      <c r="BI29" s="182">
        <f t="shared" si="35"/>
        <v>2</v>
      </c>
      <c r="BJ29" s="164" t="str">
        <f t="shared" si="10"/>
        <v>Good</v>
      </c>
      <c r="BK29" s="185"/>
      <c r="BN29" s="167"/>
      <c r="BO29" s="167"/>
      <c r="BP29" s="167" t="str">
        <f t="shared" si="15"/>
        <v/>
      </c>
      <c r="BQ29" s="167">
        <f t="shared" si="21"/>
        <v>9</v>
      </c>
      <c r="BR29" s="167">
        <f t="shared" si="17"/>
        <v>9</v>
      </c>
      <c r="BS29" s="167">
        <f t="shared" si="18"/>
        <v>9</v>
      </c>
      <c r="BV29" s="685"/>
      <c r="BW29" s="685"/>
      <c r="BX29" s="287"/>
      <c r="BY29" s="287"/>
      <c r="BZ29" s="287"/>
      <c r="CA29" s="287"/>
    </row>
    <row r="30" spans="1:80" x14ac:dyDescent="0.25">
      <c r="A30" s="96">
        <v>22</v>
      </c>
      <c r="B30" s="137" t="str">
        <f>C30</f>
        <v>Man 05</v>
      </c>
      <c r="C30" s="845" t="s">
        <v>98</v>
      </c>
      <c r="D30" s="845" t="s">
        <v>311</v>
      </c>
      <c r="E30" s="947">
        <f>SUM(E31:E33)</f>
        <v>3</v>
      </c>
      <c r="F30" s="947">
        <f t="shared" ref="F30:Q30" si="48">SUM(F31:F33)</f>
        <v>3</v>
      </c>
      <c r="G30" s="947">
        <f t="shared" si="48"/>
        <v>3</v>
      </c>
      <c r="H30" s="947">
        <f t="shared" si="48"/>
        <v>3</v>
      </c>
      <c r="I30" s="947">
        <f t="shared" si="48"/>
        <v>3</v>
      </c>
      <c r="J30" s="947">
        <f t="shared" si="48"/>
        <v>3</v>
      </c>
      <c r="K30" s="947">
        <f t="shared" si="48"/>
        <v>3</v>
      </c>
      <c r="L30" s="947">
        <f t="shared" si="48"/>
        <v>3</v>
      </c>
      <c r="M30" s="947">
        <f t="shared" si="48"/>
        <v>3</v>
      </c>
      <c r="N30" s="947">
        <f t="shared" si="48"/>
        <v>3</v>
      </c>
      <c r="O30" s="947">
        <f t="shared" si="48"/>
        <v>3</v>
      </c>
      <c r="P30" s="947">
        <f t="shared" ref="P30" si="49">SUM(P31:P33)</f>
        <v>3</v>
      </c>
      <c r="Q30" s="947">
        <f t="shared" si="48"/>
        <v>3</v>
      </c>
      <c r="S30" s="933">
        <f t="shared" si="2"/>
        <v>3</v>
      </c>
      <c r="T30" s="166"/>
      <c r="U30" s="167"/>
      <c r="V30" s="167"/>
      <c r="W30" s="168">
        <f>'Manuell filtrering og justering'!E11</f>
        <v>0</v>
      </c>
      <c r="X30" s="169"/>
      <c r="Y30" s="1193">
        <f t="shared" ref="Y30" si="50">SUM(Y31:Y33)</f>
        <v>3</v>
      </c>
      <c r="Z30" s="1185">
        <f t="shared" si="4"/>
        <v>0</v>
      </c>
      <c r="AA30" s="1189">
        <f>SUM(AA31:AA33)</f>
        <v>3</v>
      </c>
      <c r="AC30" s="935">
        <f t="shared" si="5"/>
        <v>1.8571428571428572E-2</v>
      </c>
      <c r="AD30" s="935">
        <f>SUM(AD31:AD33)</f>
        <v>0</v>
      </c>
      <c r="AE30" s="935">
        <f t="shared" ref="AE30:AF30" si="51">SUM(AE31:AE33)</f>
        <v>0</v>
      </c>
      <c r="AF30" s="935">
        <f t="shared" si="51"/>
        <v>0</v>
      </c>
      <c r="AH30" s="936">
        <f t="shared" ref="AH30:AJ30" si="52">SUM(AH31:AH33)</f>
        <v>0</v>
      </c>
      <c r="AI30" s="936">
        <f t="shared" si="52"/>
        <v>0</v>
      </c>
      <c r="AJ30" s="936">
        <f t="shared" si="52"/>
        <v>0</v>
      </c>
      <c r="AL30" s="305"/>
      <c r="AM30" s="306"/>
      <c r="AN30" s="306"/>
      <c r="AO30" s="306"/>
      <c r="AP30" s="307"/>
      <c r="AR30" s="305"/>
      <c r="AS30" s="306"/>
      <c r="AT30" s="306"/>
      <c r="AU30" s="306"/>
      <c r="AV30" s="307"/>
      <c r="AX30" s="188"/>
      <c r="AY30" s="189"/>
      <c r="AZ30" s="189"/>
      <c r="BA30" s="189"/>
      <c r="BB30" s="190"/>
      <c r="BC30" s="182">
        <f t="shared" si="29"/>
        <v>9</v>
      </c>
      <c r="BD30" s="164" t="str">
        <f t="shared" si="7"/>
        <v>N/A</v>
      </c>
      <c r="BE30" s="185"/>
      <c r="BF30" s="182">
        <f t="shared" si="34"/>
        <v>9</v>
      </c>
      <c r="BG30" s="164" t="str">
        <f t="shared" si="9"/>
        <v>N/A</v>
      </c>
      <c r="BH30" s="185"/>
      <c r="BI30" s="182">
        <f t="shared" si="35"/>
        <v>9</v>
      </c>
      <c r="BJ30" s="164" t="str">
        <f t="shared" si="10"/>
        <v>N/A</v>
      </c>
      <c r="BK30" s="185"/>
      <c r="BN30" s="167"/>
      <c r="BO30" s="167"/>
      <c r="BP30" s="167" t="str">
        <f t="shared" si="15"/>
        <v/>
      </c>
      <c r="BQ30" s="167">
        <f t="shared" si="21"/>
        <v>9</v>
      </c>
      <c r="BR30" s="167">
        <f t="shared" si="17"/>
        <v>9</v>
      </c>
      <c r="BS30" s="167">
        <f t="shared" si="18"/>
        <v>9</v>
      </c>
      <c r="BV30" s="685" t="str">
        <f>C30</f>
        <v>Man 05</v>
      </c>
      <c r="BW30" s="685" t="str">
        <f>IFERROR(VLOOKUP($D30,'Pre-Assessment Estimator'!$E$11:$AB$224,'Pre-Assessment Estimator'!AB$2,FALSE),"")</f>
        <v>No</v>
      </c>
      <c r="BX30" s="287">
        <f>IFERROR(VLOOKUP($D30,'Pre-Assessment Estimator'!$E$11:$AI$224,'Pre-Assessment Estimator'!AI$2,FALSE),"")</f>
        <v>0</v>
      </c>
      <c r="BY30" s="287">
        <f>IFERROR(VLOOKUP($BW30,$D$291:$G$324,E$289,FALSE),"")</f>
        <v>1</v>
      </c>
      <c r="BZ30" s="287">
        <f>IFERROR(VLOOKUP($BW30,$D$291:$G$324,F$289,FALSE),"")</f>
        <v>0</v>
      </c>
      <c r="CA30" s="287"/>
      <c r="CB30" s="96" t="s">
        <v>432</v>
      </c>
    </row>
    <row r="31" spans="1:80" x14ac:dyDescent="0.25">
      <c r="A31" s="96">
        <v>23</v>
      </c>
      <c r="B31" s="96" t="str">
        <f t="shared" ref="B31:B33" si="53">$C$30&amp;C31</f>
        <v>Man 05a</v>
      </c>
      <c r="C31" s="167" t="s">
        <v>696</v>
      </c>
      <c r="D31" s="1122" t="s">
        <v>603</v>
      </c>
      <c r="E31" s="788">
        <v>1</v>
      </c>
      <c r="F31" s="788">
        <v>1</v>
      </c>
      <c r="G31" s="788">
        <v>1</v>
      </c>
      <c r="H31" s="788">
        <v>1</v>
      </c>
      <c r="I31" s="788">
        <v>1</v>
      </c>
      <c r="J31" s="788">
        <v>1</v>
      </c>
      <c r="K31" s="788">
        <v>1</v>
      </c>
      <c r="L31" s="788">
        <v>1</v>
      </c>
      <c r="M31" s="788">
        <v>1</v>
      </c>
      <c r="N31" s="788">
        <v>1</v>
      </c>
      <c r="O31" s="788">
        <v>1</v>
      </c>
      <c r="P31" s="788">
        <v>1</v>
      </c>
      <c r="Q31" s="788">
        <v>1</v>
      </c>
      <c r="S31" s="165">
        <f t="shared" si="2"/>
        <v>1</v>
      </c>
      <c r="T31" s="166"/>
      <c r="U31" s="167"/>
      <c r="V31" s="167"/>
      <c r="W31" s="168"/>
      <c r="X31" s="169">
        <f>IF(OR($X$4=$X$5,$X$4=$X$6),S31,0)</f>
        <v>0</v>
      </c>
      <c r="Y31" s="1175">
        <f>VLOOKUP(B31,'Manuell filtrering og justering'!$A$7:$H$107,'Manuell filtrering og justering'!$H$1,FALSE)</f>
        <v>1</v>
      </c>
      <c r="Z31" s="1185">
        <f t="shared" si="4"/>
        <v>0</v>
      </c>
      <c r="AA31" s="185">
        <f>IF($AB$5='Manuell filtrering og justering'!$J$2,Y31,(S31-Z31))</f>
        <v>1</v>
      </c>
      <c r="AC31" s="171">
        <f t="shared" si="5"/>
        <v>6.1904761904761907E-3</v>
      </c>
      <c r="AD31" s="171">
        <f>IF(AA31=0,0,(AC31/AA31)*AH31)</f>
        <v>0</v>
      </c>
      <c r="AE31" s="171">
        <f t="shared" si="19"/>
        <v>0</v>
      </c>
      <c r="AF31" s="171">
        <f t="shared" si="20"/>
        <v>0</v>
      </c>
      <c r="AH31" s="172">
        <f>IF(VLOOKUP(D31,'Pre-Assessment Estimator'!$E$11:$Z$224,'Pre-Assessment Estimator'!$G$2,FALSE)&gt;AA31,AA31,VLOOKUP(D31,'Pre-Assessment Estimator'!$E$11:$Z$224,'Pre-Assessment Estimator'!$G$2,FALSE))</f>
        <v>0</v>
      </c>
      <c r="AI31" s="172">
        <f>IF(VLOOKUP(D31,'Pre-Assessment Estimator'!$E$11:$Z$224,'Pre-Assessment Estimator'!$N$2,FALSE)&gt;AA31,AA31,VLOOKUP(D31,'Pre-Assessment Estimator'!$E$11:$Z$224,'Pre-Assessment Estimator'!$N$2,FALSE))</f>
        <v>0</v>
      </c>
      <c r="AJ31" s="172">
        <f>IF(VLOOKUP(D31,'Pre-Assessment Estimator'!$E$11:$Z$224,'Pre-Assessment Estimator'!$U$2,FALSE)&gt;AA31,AA31,VLOOKUP(D31,'Pre-Assessment Estimator'!$E$11:$Z$224,'Pre-Assessment Estimator'!$U$2,FALSE))</f>
        <v>0</v>
      </c>
      <c r="AL31" s="305"/>
      <c r="AM31" s="306"/>
      <c r="AN31" s="306"/>
      <c r="AO31" s="306"/>
      <c r="AP31" s="307"/>
      <c r="AR31" s="305"/>
      <c r="AS31" s="306"/>
      <c r="AT31" s="306"/>
      <c r="AU31" s="306"/>
      <c r="AV31" s="307"/>
      <c r="AX31" s="188"/>
      <c r="AY31" s="189"/>
      <c r="AZ31" s="189"/>
      <c r="BA31" s="189"/>
      <c r="BB31" s="190"/>
      <c r="BC31" s="182">
        <f t="shared" si="29"/>
        <v>9</v>
      </c>
      <c r="BD31" s="164" t="str">
        <f t="shared" si="7"/>
        <v>N/A</v>
      </c>
      <c r="BE31" s="185"/>
      <c r="BF31" s="182">
        <f t="shared" si="34"/>
        <v>9</v>
      </c>
      <c r="BG31" s="164" t="str">
        <f t="shared" si="9"/>
        <v>N/A</v>
      </c>
      <c r="BH31" s="185"/>
      <c r="BI31" s="182">
        <f t="shared" si="35"/>
        <v>9</v>
      </c>
      <c r="BJ31" s="164" t="str">
        <f t="shared" si="10"/>
        <v>N/A</v>
      </c>
      <c r="BK31" s="185"/>
      <c r="BN31" s="167"/>
      <c r="BO31" s="167"/>
      <c r="BP31" s="167" t="str">
        <f t="shared" si="15"/>
        <v/>
      </c>
      <c r="BQ31" s="167">
        <f t="shared" ref="BQ31:BQ94" si="54">IF(BP31="",9,(IF(AH31&gt;=BP31,5,0)))</f>
        <v>9</v>
      </c>
      <c r="BR31" s="167">
        <f t="shared" ref="BR31:BR94" si="55">IF(BP31="",9,(IF(AI31&gt;=BP31,5,0)))</f>
        <v>9</v>
      </c>
      <c r="BS31" s="167">
        <f t="shared" ref="BS31:BS94" si="56">IF(BP31="",9,(IF(AJ31&gt;=BP31,5,0)))</f>
        <v>9</v>
      </c>
      <c r="BV31" s="685"/>
      <c r="BW31" s="685"/>
      <c r="BX31" s="287"/>
      <c r="BY31" s="287"/>
      <c r="BZ31" s="287"/>
      <c r="CA31" s="287"/>
    </row>
    <row r="32" spans="1:80" x14ac:dyDescent="0.25">
      <c r="A32" s="96">
        <v>24</v>
      </c>
      <c r="B32" s="96" t="str">
        <f t="shared" si="53"/>
        <v>Man 05b</v>
      </c>
      <c r="C32" s="167" t="s">
        <v>699</v>
      </c>
      <c r="D32" s="1122" t="s">
        <v>604</v>
      </c>
      <c r="E32" s="788">
        <v>1</v>
      </c>
      <c r="F32" s="788">
        <v>1</v>
      </c>
      <c r="G32" s="788">
        <v>1</v>
      </c>
      <c r="H32" s="788">
        <v>1</v>
      </c>
      <c r="I32" s="788">
        <v>1</v>
      </c>
      <c r="J32" s="788">
        <v>1</v>
      </c>
      <c r="K32" s="788">
        <v>1</v>
      </c>
      <c r="L32" s="788">
        <v>1</v>
      </c>
      <c r="M32" s="788">
        <v>1</v>
      </c>
      <c r="N32" s="788">
        <v>1</v>
      </c>
      <c r="O32" s="788">
        <v>1</v>
      </c>
      <c r="P32" s="788">
        <v>1</v>
      </c>
      <c r="Q32" s="788">
        <v>1</v>
      </c>
      <c r="S32" s="165">
        <f t="shared" si="2"/>
        <v>1</v>
      </c>
      <c r="T32" s="166"/>
      <c r="U32" s="167"/>
      <c r="V32" s="167"/>
      <c r="W32" s="168"/>
      <c r="X32" s="169">
        <f>IF(OR($X$4=$X$5,$X$4=$X$6),S32,0)</f>
        <v>0</v>
      </c>
      <c r="Y32" s="1175">
        <f>VLOOKUP(B32,'Manuell filtrering og justering'!$A$7:$H$107,'Manuell filtrering og justering'!$H$1,FALSE)</f>
        <v>1</v>
      </c>
      <c r="Z32" s="1185">
        <f t="shared" si="4"/>
        <v>0</v>
      </c>
      <c r="AA32" s="185">
        <f>IF($AB$5='Manuell filtrering og justering'!$J$2,Y32,(S32-Z32))</f>
        <v>1</v>
      </c>
      <c r="AC32" s="171">
        <f t="shared" si="5"/>
        <v>6.1904761904761907E-3</v>
      </c>
      <c r="AD32" s="171">
        <f>IF(AA32=0,0,(AC32/AA32)*AH32)</f>
        <v>0</v>
      </c>
      <c r="AE32" s="171">
        <f t="shared" si="19"/>
        <v>0</v>
      </c>
      <c r="AF32" s="171">
        <f t="shared" si="20"/>
        <v>0</v>
      </c>
      <c r="AH32" s="172">
        <f>IF(VLOOKUP(D32,'Pre-Assessment Estimator'!$E$11:$Z$224,'Pre-Assessment Estimator'!$G$2,FALSE)&gt;AA32,AA32,VLOOKUP(D32,'Pre-Assessment Estimator'!$E$11:$Z$224,'Pre-Assessment Estimator'!$G$2,FALSE))</f>
        <v>0</v>
      </c>
      <c r="AI32" s="172">
        <f>IF(VLOOKUP(D32,'Pre-Assessment Estimator'!$E$11:$Z$224,'Pre-Assessment Estimator'!$N$2,FALSE)&gt;AA32,AA32,VLOOKUP(D32,'Pre-Assessment Estimator'!$E$11:$Z$224,'Pre-Assessment Estimator'!$N$2,FALSE))</f>
        <v>0</v>
      </c>
      <c r="AJ32" s="172">
        <f>IF(VLOOKUP(D32,'Pre-Assessment Estimator'!$E$11:$Z$224,'Pre-Assessment Estimator'!$U$2,FALSE)&gt;AA32,AA32,VLOOKUP(D32,'Pre-Assessment Estimator'!$E$11:$Z$224,'Pre-Assessment Estimator'!$U$2,FALSE))</f>
        <v>0</v>
      </c>
      <c r="AL32" s="305"/>
      <c r="AM32" s="306"/>
      <c r="AN32" s="306"/>
      <c r="AO32" s="1207">
        <f>IF(AND($X$4&lt;&gt;$X$3,X32&gt;0),0,1)</f>
        <v>1</v>
      </c>
      <c r="AP32" s="1208">
        <f>IF(AND($X$4&lt;&gt;$X$3,X32&gt;0),0,1)</f>
        <v>1</v>
      </c>
      <c r="AQ32" s="130"/>
      <c r="AR32" s="1024"/>
      <c r="AS32" s="1022"/>
      <c r="AT32" s="1022"/>
      <c r="AU32" s="1022"/>
      <c r="AV32" s="1023"/>
      <c r="AX32" s="188"/>
      <c r="AY32" s="189"/>
      <c r="AZ32" s="189"/>
      <c r="BA32" s="183">
        <f>IF($D$6=$G$9,AU32,AO32)</f>
        <v>1</v>
      </c>
      <c r="BB32" s="183">
        <f>IF($D$6=$G$9,AV32,AP32)</f>
        <v>1</v>
      </c>
      <c r="BC32" s="182">
        <f t="shared" si="29"/>
        <v>3</v>
      </c>
      <c r="BD32" s="164" t="str">
        <f t="shared" si="7"/>
        <v>Very Good</v>
      </c>
      <c r="BE32" s="185"/>
      <c r="BF32" s="182">
        <f t="shared" si="34"/>
        <v>3</v>
      </c>
      <c r="BG32" s="164" t="str">
        <f t="shared" si="9"/>
        <v>Very Good</v>
      </c>
      <c r="BH32" s="185"/>
      <c r="BI32" s="182">
        <f t="shared" si="35"/>
        <v>3</v>
      </c>
      <c r="BJ32" s="164" t="str">
        <f t="shared" si="10"/>
        <v>Very Good</v>
      </c>
      <c r="BK32" s="185"/>
      <c r="BN32" s="167"/>
      <c r="BO32" s="167"/>
      <c r="BP32" s="167" t="str">
        <f t="shared" si="15"/>
        <v/>
      </c>
      <c r="BQ32" s="167">
        <f t="shared" si="54"/>
        <v>9</v>
      </c>
      <c r="BR32" s="167">
        <f t="shared" si="55"/>
        <v>9</v>
      </c>
      <c r="BS32" s="167">
        <f t="shared" si="56"/>
        <v>9</v>
      </c>
      <c r="BV32" s="685"/>
      <c r="BW32" s="685"/>
      <c r="BX32" s="287"/>
      <c r="BY32" s="287"/>
      <c r="BZ32" s="287"/>
      <c r="CA32" s="287"/>
    </row>
    <row r="33" spans="1:86" x14ac:dyDescent="0.25">
      <c r="A33" s="96">
        <v>25</v>
      </c>
      <c r="B33" s="96" t="str">
        <f t="shared" si="53"/>
        <v>Man 05c</v>
      </c>
      <c r="C33" s="167" t="s">
        <v>700</v>
      </c>
      <c r="D33" s="1122" t="s">
        <v>605</v>
      </c>
      <c r="E33" s="788">
        <v>1</v>
      </c>
      <c r="F33" s="788">
        <v>1</v>
      </c>
      <c r="G33" s="788">
        <v>1</v>
      </c>
      <c r="H33" s="788">
        <v>1</v>
      </c>
      <c r="I33" s="788">
        <v>1</v>
      </c>
      <c r="J33" s="788">
        <v>1</v>
      </c>
      <c r="K33" s="788">
        <v>1</v>
      </c>
      <c r="L33" s="788">
        <v>1</v>
      </c>
      <c r="M33" s="788">
        <v>1</v>
      </c>
      <c r="N33" s="788">
        <v>1</v>
      </c>
      <c r="O33" s="788">
        <v>1</v>
      </c>
      <c r="P33" s="788">
        <v>1</v>
      </c>
      <c r="Q33" s="788">
        <v>1</v>
      </c>
      <c r="S33" s="165">
        <f t="shared" si="2"/>
        <v>1</v>
      </c>
      <c r="T33" s="166"/>
      <c r="U33" s="167"/>
      <c r="V33" s="167"/>
      <c r="W33" s="168"/>
      <c r="X33" s="169">
        <f>IF(OR($X$4=$X$5,$X$4=$X$6),S33,0)</f>
        <v>0</v>
      </c>
      <c r="Y33" s="1175">
        <f>VLOOKUP(B33,'Manuell filtrering og justering'!$A$7:$H$107,'Manuell filtrering og justering'!$H$1,FALSE)</f>
        <v>1</v>
      </c>
      <c r="Z33" s="1185">
        <f t="shared" si="4"/>
        <v>0</v>
      </c>
      <c r="AA33" s="185">
        <f>IF($AB$5='Manuell filtrering og justering'!$J$2,Y33,(S33-Z33))</f>
        <v>1</v>
      </c>
      <c r="AC33" s="171">
        <f t="shared" si="5"/>
        <v>6.1904761904761907E-3</v>
      </c>
      <c r="AD33" s="171">
        <f>IF(AA33=0,0,(AC33/AA33)*AH33)</f>
        <v>0</v>
      </c>
      <c r="AE33" s="171">
        <f t="shared" si="19"/>
        <v>0</v>
      </c>
      <c r="AF33" s="171">
        <f t="shared" si="20"/>
        <v>0</v>
      </c>
      <c r="AH33" s="172">
        <f>IF(VLOOKUP(D33,'Pre-Assessment Estimator'!$E$11:$Z$224,'Pre-Assessment Estimator'!$G$2,FALSE)&gt;AA33,AA33,VLOOKUP(D33,'Pre-Assessment Estimator'!$E$11:$Z$224,'Pre-Assessment Estimator'!$G$2,FALSE))</f>
        <v>0</v>
      </c>
      <c r="AI33" s="172">
        <f>IF(VLOOKUP(D33,'Pre-Assessment Estimator'!$E$11:$Z$224,'Pre-Assessment Estimator'!$N$2,FALSE)&gt;AA33,AA33,VLOOKUP(D33,'Pre-Assessment Estimator'!$E$11:$Z$224,'Pre-Assessment Estimator'!$N$2,FALSE))</f>
        <v>0</v>
      </c>
      <c r="AJ33" s="172">
        <f>IF(VLOOKUP(D33,'Pre-Assessment Estimator'!$E$11:$Z$224,'Pre-Assessment Estimator'!$U$2,FALSE)&gt;AA33,AA33,VLOOKUP(D33,'Pre-Assessment Estimator'!$E$11:$Z$224,'Pre-Assessment Estimator'!$U$2,FALSE))</f>
        <v>0</v>
      </c>
      <c r="AL33" s="305"/>
      <c r="AM33" s="306"/>
      <c r="AN33" s="306"/>
      <c r="AO33" s="306"/>
      <c r="AP33" s="307"/>
      <c r="AR33" s="305"/>
      <c r="AS33" s="306"/>
      <c r="AT33" s="306"/>
      <c r="AU33" s="306"/>
      <c r="AV33" s="307"/>
      <c r="AX33" s="188"/>
      <c r="AY33" s="189"/>
      <c r="AZ33" s="189"/>
      <c r="BA33" s="189"/>
      <c r="BB33" s="190"/>
      <c r="BC33" s="182">
        <f t="shared" si="29"/>
        <v>9</v>
      </c>
      <c r="BD33" s="164" t="str">
        <f t="shared" si="7"/>
        <v>N/A</v>
      </c>
      <c r="BE33" s="185"/>
      <c r="BF33" s="182">
        <f t="shared" si="34"/>
        <v>9</v>
      </c>
      <c r="BG33" s="164" t="str">
        <f t="shared" si="9"/>
        <v>N/A</v>
      </c>
      <c r="BH33" s="185"/>
      <c r="BI33" s="182">
        <f t="shared" si="35"/>
        <v>9</v>
      </c>
      <c r="BJ33" s="164" t="str">
        <f t="shared" si="10"/>
        <v>N/A</v>
      </c>
      <c r="BK33" s="185"/>
      <c r="BN33" s="167"/>
      <c r="BO33" s="167"/>
      <c r="BP33" s="167" t="str">
        <f t="shared" si="15"/>
        <v/>
      </c>
      <c r="BQ33" s="167">
        <f t="shared" si="54"/>
        <v>9</v>
      </c>
      <c r="BR33" s="167">
        <f t="shared" si="55"/>
        <v>9</v>
      </c>
      <c r="BS33" s="167">
        <f t="shared" si="56"/>
        <v>9</v>
      </c>
      <c r="BV33" s="685"/>
      <c r="BW33" s="685"/>
      <c r="BX33" s="287"/>
      <c r="BY33" s="287"/>
      <c r="BZ33" s="287"/>
      <c r="CA33" s="287"/>
    </row>
    <row r="34" spans="1:86" x14ac:dyDescent="0.25">
      <c r="A34" s="96">
        <v>26</v>
      </c>
      <c r="C34" s="711" t="s">
        <v>99</v>
      </c>
      <c r="D34" s="711"/>
      <c r="E34" s="948"/>
      <c r="F34" s="948"/>
      <c r="G34" s="948"/>
      <c r="H34" s="948"/>
      <c r="I34" s="948"/>
      <c r="J34" s="948"/>
      <c r="K34" s="948"/>
      <c r="L34" s="948"/>
      <c r="M34" s="948"/>
      <c r="N34" s="948"/>
      <c r="O34" s="948"/>
      <c r="P34" s="948"/>
      <c r="Q34" s="948"/>
      <c r="S34" s="968">
        <f t="shared" si="2"/>
        <v>0</v>
      </c>
      <c r="T34" s="712"/>
      <c r="U34" s="711"/>
      <c r="V34" s="711"/>
      <c r="W34" s="969">
        <f>'Manuell filtrering og justering'!E12</f>
        <v>0</v>
      </c>
      <c r="X34" s="970"/>
      <c r="Y34" s="1177"/>
      <c r="Z34" s="1185">
        <f t="shared" si="4"/>
        <v>0</v>
      </c>
      <c r="AA34" s="1190">
        <f>IF($AB$5='Manuell filtrering og justering'!$J$2,Y34,(S34-Z34))</f>
        <v>0</v>
      </c>
      <c r="AC34" s="974"/>
      <c r="AD34" s="974"/>
      <c r="AE34" s="974"/>
      <c r="AF34" s="974"/>
      <c r="AH34" s="731"/>
      <c r="AI34" s="731"/>
      <c r="AJ34" s="731"/>
      <c r="AL34" s="292"/>
      <c r="AM34" s="293"/>
      <c r="AN34" s="293"/>
      <c r="AO34" s="293"/>
      <c r="AP34" s="294"/>
      <c r="AR34" s="292"/>
      <c r="AS34" s="293"/>
      <c r="AT34" s="293"/>
      <c r="AU34" s="293"/>
      <c r="AV34" s="294"/>
      <c r="AX34" s="188"/>
      <c r="AY34" s="191"/>
      <c r="AZ34" s="189"/>
      <c r="BA34" s="189"/>
      <c r="BB34" s="184"/>
      <c r="BC34" s="182">
        <f t="shared" si="29"/>
        <v>9</v>
      </c>
      <c r="BD34" s="164" t="str">
        <f t="shared" si="7"/>
        <v>N/A</v>
      </c>
      <c r="BE34" s="185"/>
      <c r="BF34" s="182">
        <f t="shared" si="34"/>
        <v>9</v>
      </c>
      <c r="BG34" s="164" t="str">
        <f t="shared" si="9"/>
        <v>N/A</v>
      </c>
      <c r="BH34" s="185"/>
      <c r="BI34" s="182">
        <f t="shared" si="35"/>
        <v>9</v>
      </c>
      <c r="BJ34" s="164" t="str">
        <f t="shared" si="10"/>
        <v>N/A</v>
      </c>
      <c r="BK34" s="185"/>
      <c r="BN34" s="167"/>
      <c r="BO34" s="167"/>
      <c r="BP34" s="167" t="str">
        <f t="shared" si="15"/>
        <v/>
      </c>
      <c r="BQ34" s="167">
        <f t="shared" si="54"/>
        <v>9</v>
      </c>
      <c r="BR34" s="167">
        <f t="shared" si="55"/>
        <v>9</v>
      </c>
      <c r="BS34" s="167">
        <f t="shared" si="56"/>
        <v>9</v>
      </c>
      <c r="BV34" s="167"/>
      <c r="BW34" s="167" t="str">
        <f>IFERROR(VLOOKUP($D34,'Pre-Assessment Estimator'!$E$11:$AB$224,'Pre-Assessment Estimator'!AB$2,FALSE),"")</f>
        <v/>
      </c>
      <c r="BX34" s="167" t="str">
        <f>IFERROR(VLOOKUP($D34,'Pre-Assessment Estimator'!$E$11:$AI$224,'Pre-Assessment Estimator'!AI$2,FALSE),"")</f>
        <v/>
      </c>
      <c r="BY34" s="167" t="str">
        <f t="shared" ref="BY34:BZ38" si="57">IFERROR(VLOOKUP($BW34,$D$291:$G$324,E$289,FALSE),"")</f>
        <v/>
      </c>
      <c r="BZ34" s="167" t="str">
        <f t="shared" si="57"/>
        <v/>
      </c>
      <c r="CA34" s="167"/>
      <c r="CB34" s="96" t="str">
        <f t="shared" ref="CB34:CB39" si="58">IFERROR(VLOOKUP($BW34,$D$291:$G$324,H$289,FALSE),"")</f>
        <v/>
      </c>
    </row>
    <row r="35" spans="1:86" ht="15.75" thickBot="1" x14ac:dyDescent="0.3">
      <c r="A35" s="96">
        <v>27</v>
      </c>
      <c r="C35" s="711" t="s">
        <v>100</v>
      </c>
      <c r="D35" s="711"/>
      <c r="E35" s="948"/>
      <c r="F35" s="948"/>
      <c r="G35" s="948"/>
      <c r="H35" s="948"/>
      <c r="I35" s="948"/>
      <c r="J35" s="948"/>
      <c r="K35" s="948"/>
      <c r="L35" s="948"/>
      <c r="M35" s="948"/>
      <c r="N35" s="948"/>
      <c r="O35" s="948"/>
      <c r="P35" s="948"/>
      <c r="Q35" s="948"/>
      <c r="S35" s="968">
        <f t="shared" si="2"/>
        <v>0</v>
      </c>
      <c r="T35" s="712"/>
      <c r="U35" s="711"/>
      <c r="V35" s="711"/>
      <c r="W35" s="969">
        <f>'Manuell filtrering og justering'!E13</f>
        <v>0</v>
      </c>
      <c r="X35" s="970"/>
      <c r="Y35" s="1177"/>
      <c r="Z35" s="1185">
        <f t="shared" si="4"/>
        <v>0</v>
      </c>
      <c r="AA35" s="1190">
        <f>IF($AB$5='Manuell filtrering og justering'!$J$2,Y35,(S35-Z35))</f>
        <v>0</v>
      </c>
      <c r="AC35" s="974"/>
      <c r="AD35" s="974"/>
      <c r="AE35" s="974"/>
      <c r="AF35" s="974"/>
      <c r="AH35" s="731"/>
      <c r="AI35" s="731"/>
      <c r="AJ35" s="731"/>
      <c r="AL35" s="295"/>
      <c r="AM35" s="296"/>
      <c r="AN35" s="296"/>
      <c r="AO35" s="296"/>
      <c r="AP35" s="297"/>
      <c r="AR35" s="295"/>
      <c r="AS35" s="296"/>
      <c r="AT35" s="296"/>
      <c r="AU35" s="296"/>
      <c r="AV35" s="297"/>
      <c r="AX35" s="194"/>
      <c r="AY35" s="195"/>
      <c r="AZ35" s="196"/>
      <c r="BA35" s="196"/>
      <c r="BB35" s="197"/>
      <c r="BC35" s="198">
        <f t="shared" ref="BC35:BC169" si="59">IF(BB35=0,9,IF(AH35&gt;=BB35,5,IF(AH35&gt;=BA35,4,IF(AH35&gt;=AZ35,3,IF(AH35&gt;=AY35,2,IF(AH35&lt;AX35,0,1))))))</f>
        <v>9</v>
      </c>
      <c r="BD35" s="164" t="str">
        <f t="shared" si="7"/>
        <v>N/A</v>
      </c>
      <c r="BE35" s="200"/>
      <c r="BF35" s="198">
        <f t="shared" si="8"/>
        <v>9</v>
      </c>
      <c r="BG35" s="164" t="str">
        <f t="shared" si="9"/>
        <v>N/A</v>
      </c>
      <c r="BH35" s="200"/>
      <c r="BI35" s="198">
        <f t="shared" si="27"/>
        <v>9</v>
      </c>
      <c r="BJ35" s="164" t="str">
        <f t="shared" si="10"/>
        <v>N/A</v>
      </c>
      <c r="BK35" s="200"/>
      <c r="BN35" s="167"/>
      <c r="BO35" s="167"/>
      <c r="BP35" s="167" t="str">
        <f t="shared" si="15"/>
        <v/>
      </c>
      <c r="BQ35" s="167">
        <f t="shared" si="54"/>
        <v>9</v>
      </c>
      <c r="BR35" s="167">
        <f t="shared" si="55"/>
        <v>9</v>
      </c>
      <c r="BS35" s="167">
        <f t="shared" si="56"/>
        <v>9</v>
      </c>
      <c r="BV35" s="193"/>
      <c r="BW35" s="193" t="str">
        <f>IFERROR(VLOOKUP($D35,'Pre-Assessment Estimator'!$E$11:$AB$224,'Pre-Assessment Estimator'!AB$2,FALSE),"")</f>
        <v/>
      </c>
      <c r="BX35" s="193" t="str">
        <f>IFERROR(VLOOKUP($D35,'Pre-Assessment Estimator'!$E$11:$AI$224,'Pre-Assessment Estimator'!AI$2,FALSE),"")</f>
        <v/>
      </c>
      <c r="BY35" s="193" t="str">
        <f t="shared" si="57"/>
        <v/>
      </c>
      <c r="BZ35" s="193" t="str">
        <f t="shared" si="57"/>
        <v/>
      </c>
      <c r="CA35" s="193"/>
      <c r="CB35" s="96" t="str">
        <f t="shared" si="58"/>
        <v/>
      </c>
    </row>
    <row r="36" spans="1:86" ht="15.75" thickBot="1" x14ac:dyDescent="0.3">
      <c r="A36" s="96">
        <v>28</v>
      </c>
      <c r="B36" s="96" t="s">
        <v>886</v>
      </c>
      <c r="C36" s="722"/>
      <c r="D36" s="721" t="s">
        <v>216</v>
      </c>
      <c r="E36" s="787">
        <f t="shared" ref="E36:Q36" si="60">E10+E16+E19+E26+E30</f>
        <v>21</v>
      </c>
      <c r="F36" s="787">
        <f t="shared" si="60"/>
        <v>21</v>
      </c>
      <c r="G36" s="787">
        <f t="shared" si="60"/>
        <v>21</v>
      </c>
      <c r="H36" s="787">
        <f t="shared" si="60"/>
        <v>21</v>
      </c>
      <c r="I36" s="787">
        <f t="shared" si="60"/>
        <v>21</v>
      </c>
      <c r="J36" s="787">
        <f t="shared" si="60"/>
        <v>21</v>
      </c>
      <c r="K36" s="787">
        <f t="shared" si="60"/>
        <v>21</v>
      </c>
      <c r="L36" s="787">
        <f t="shared" si="60"/>
        <v>21</v>
      </c>
      <c r="M36" s="787">
        <f t="shared" si="60"/>
        <v>21</v>
      </c>
      <c r="N36" s="787">
        <f t="shared" si="60"/>
        <v>21</v>
      </c>
      <c r="O36" s="787">
        <f t="shared" si="60"/>
        <v>21</v>
      </c>
      <c r="P36" s="787">
        <f t="shared" ref="P36" si="61">P10+P16+P19+P26+P30</f>
        <v>21</v>
      </c>
      <c r="Q36" s="787">
        <f t="shared" si="60"/>
        <v>21</v>
      </c>
      <c r="S36" s="203">
        <f t="shared" si="2"/>
        <v>21</v>
      </c>
      <c r="T36" s="204"/>
      <c r="U36" s="205"/>
      <c r="V36" s="205"/>
      <c r="W36" s="206"/>
      <c r="X36" s="207"/>
      <c r="Y36" s="1178"/>
      <c r="Z36" s="1186">
        <f>Z10+Z16+Z19+Z26+Z30</f>
        <v>0</v>
      </c>
      <c r="AA36" s="1191">
        <f>AA10+AA16+AA19+AA26+AA30</f>
        <v>21</v>
      </c>
      <c r="AC36" s="208">
        <f>AC10+AC16+AC19+AC26+AC30</f>
        <v>0.13</v>
      </c>
      <c r="AD36" s="208">
        <f>AD10+AD16+AD19+AD26+AD30</f>
        <v>0</v>
      </c>
      <c r="AE36" s="208">
        <f>AE10+AE16+AE19+AE26+AE30</f>
        <v>0</v>
      </c>
      <c r="AF36" s="208">
        <f>AF10+AF16+AF19+AF26+AF30</f>
        <v>0</v>
      </c>
      <c r="AH36" s="78">
        <f>AH10+AH16+AH19+AH26+AH30</f>
        <v>0</v>
      </c>
      <c r="AI36" s="78">
        <f>AI10+AI16+AI19+AI26+AI30</f>
        <v>0</v>
      </c>
      <c r="AJ36" s="78">
        <f>AJ10+AJ16+AJ19+AJ26+AJ30</f>
        <v>0</v>
      </c>
      <c r="AL36" s="139"/>
      <c r="AM36" s="139"/>
      <c r="AN36" s="139"/>
      <c r="AO36" s="139"/>
      <c r="AP36" s="139"/>
      <c r="AR36" s="139"/>
      <c r="AS36" s="139"/>
      <c r="AT36" s="139"/>
      <c r="AU36" s="139"/>
      <c r="AV36" s="139"/>
      <c r="AX36" s="97"/>
      <c r="AY36" s="209"/>
      <c r="AZ36" s="97"/>
      <c r="BA36" s="97"/>
      <c r="BB36" s="97"/>
      <c r="BV36" s="202"/>
      <c r="BW36" s="202" t="str">
        <f>IFERROR(VLOOKUP($D36,'Pre-Assessment Estimator'!$E$11:$AB$224,'Pre-Assessment Estimator'!AB$2,FALSE),"")</f>
        <v/>
      </c>
      <c r="BX36" s="202" t="str">
        <f>IFERROR(VLOOKUP($D36,'Pre-Assessment Estimator'!$E$11:$AI$224,'Pre-Assessment Estimator'!AI$2,FALSE),"")</f>
        <v/>
      </c>
      <c r="BY36" s="202" t="str">
        <f t="shared" si="57"/>
        <v/>
      </c>
      <c r="BZ36" s="202" t="str">
        <f t="shared" si="57"/>
        <v/>
      </c>
      <c r="CA36" s="202"/>
      <c r="CB36" s="96" t="str">
        <f t="shared" si="58"/>
        <v/>
      </c>
    </row>
    <row r="37" spans="1:86" ht="15.75" thickBot="1" x14ac:dyDescent="0.3">
      <c r="A37" s="96">
        <v>29</v>
      </c>
      <c r="AH37" s="1"/>
      <c r="AI37" s="1"/>
      <c r="AJ37" s="1"/>
      <c r="AL37" s="139"/>
      <c r="AM37" s="139"/>
      <c r="AN37" s="139"/>
      <c r="AO37" s="139"/>
      <c r="AP37" s="139"/>
      <c r="AR37" s="139"/>
      <c r="AS37" s="139"/>
      <c r="AT37" s="139"/>
      <c r="AU37" s="139"/>
      <c r="AV37" s="139"/>
      <c r="AX37" s="97"/>
      <c r="AY37" s="209"/>
      <c r="AZ37" s="97"/>
      <c r="BA37" s="97"/>
      <c r="BB37" s="97"/>
      <c r="BW37" s="96" t="str">
        <f>IFERROR(VLOOKUP($D37,'Pre-Assessment Estimator'!$E$11:$AB$224,'Pre-Assessment Estimator'!AB$2,FALSE),"")</f>
        <v/>
      </c>
      <c r="BX37" s="96" t="str">
        <f>IFERROR(VLOOKUP($D37,'Pre-Assessment Estimator'!$E$11:$AI$224,'Pre-Assessment Estimator'!AI$2,FALSE),"")</f>
        <v/>
      </c>
      <c r="BY37" s="96" t="str">
        <f t="shared" si="57"/>
        <v/>
      </c>
      <c r="BZ37" s="96" t="str">
        <f t="shared" si="57"/>
        <v/>
      </c>
      <c r="CB37" s="96" t="str">
        <f t="shared" si="58"/>
        <v/>
      </c>
    </row>
    <row r="38" spans="1:86" ht="60.75" thickBot="1" x14ac:dyDescent="0.3">
      <c r="A38" s="96">
        <v>30</v>
      </c>
      <c r="C38" s="145"/>
      <c r="D38" s="146" t="s">
        <v>67</v>
      </c>
      <c r="E38" s="778" t="str">
        <f>$E$9</f>
        <v>Office</v>
      </c>
      <c r="F38" s="778" t="str">
        <f>$F$9</f>
        <v>Retail</v>
      </c>
      <c r="G38" s="778" t="str">
        <f>$G$9</f>
        <v>Residential</v>
      </c>
      <c r="H38" s="778" t="str">
        <f>$H$9</f>
        <v>Industrial</v>
      </c>
      <c r="I38" s="778" t="str">
        <f>$I$9</f>
        <v>Healthcare</v>
      </c>
      <c r="J38" s="778" t="str">
        <f>$J$9</f>
        <v>Prison</v>
      </c>
      <c r="K38" s="778" t="str">
        <f>$K$9</f>
        <v>Law Court</v>
      </c>
      <c r="L38" s="778" t="str">
        <f>$L$9</f>
        <v>Residential institution (long term stay)</v>
      </c>
      <c r="M38" s="778" t="str">
        <f>$M$9</f>
        <v>Residential institution (short term stay)</v>
      </c>
      <c r="N38" s="778" t="str">
        <f>$N$9</f>
        <v>Non-residential institution</v>
      </c>
      <c r="O38" s="778" t="str">
        <f>$O$9</f>
        <v>Assembly and leisure</v>
      </c>
      <c r="P38" s="779" t="str">
        <f>$P$9</f>
        <v>Education</v>
      </c>
      <c r="Q38" s="779" t="str">
        <f>$Q$9</f>
        <v>Other</v>
      </c>
      <c r="S38" s="138" t="str">
        <f>$D$6</f>
        <v>Office</v>
      </c>
      <c r="T38" s="210"/>
      <c r="U38" s="211"/>
      <c r="V38" s="674"/>
      <c r="W38" s="1180"/>
      <c r="X38" s="1194" t="s">
        <v>414</v>
      </c>
      <c r="Y38" s="1192" t="s">
        <v>337</v>
      </c>
      <c r="Z38" s="150" t="s">
        <v>216</v>
      </c>
      <c r="AA38" s="59" t="s">
        <v>16</v>
      </c>
      <c r="AH38" s="42"/>
      <c r="AI38" s="60"/>
      <c r="AJ38" s="60"/>
      <c r="AL38" s="139"/>
      <c r="AM38" s="139"/>
      <c r="AN38" s="139"/>
      <c r="AO38" s="139"/>
      <c r="AP38" s="139"/>
      <c r="AR38" s="139"/>
      <c r="AS38" s="139"/>
      <c r="AT38" s="139"/>
      <c r="AU38" s="139"/>
      <c r="AV38" s="139"/>
      <c r="AX38" s="97"/>
      <c r="AY38" s="209"/>
      <c r="AZ38" s="97"/>
      <c r="BA38" s="97"/>
      <c r="BB38" s="97"/>
      <c r="BN38" s="60"/>
      <c r="BO38" s="60"/>
      <c r="BP38" s="60"/>
      <c r="BQ38" s="60"/>
      <c r="BR38" s="60"/>
      <c r="BS38" s="60"/>
      <c r="BV38" s="146"/>
      <c r="BW38" s="146" t="str">
        <f>D38</f>
        <v>Health &amp; Wellbeing</v>
      </c>
      <c r="BX38" s="146">
        <f>IFERROR(VLOOKUP($D38,'Pre-Assessment Estimator'!$E$11:$AI$224,'Pre-Assessment Estimator'!AI$2,FALSE),"")</f>
        <v>0</v>
      </c>
      <c r="BY38" s="146" t="str">
        <f t="shared" si="57"/>
        <v/>
      </c>
      <c r="BZ38" s="146" t="str">
        <f t="shared" si="57"/>
        <v/>
      </c>
      <c r="CA38" s="146"/>
      <c r="CB38" s="96" t="str">
        <f t="shared" si="58"/>
        <v/>
      </c>
    </row>
    <row r="39" spans="1:86" x14ac:dyDescent="0.25">
      <c r="A39" s="96">
        <v>31</v>
      </c>
      <c r="B39" s="137" t="str">
        <f>C39</f>
        <v>Hea 01</v>
      </c>
      <c r="C39" s="846" t="s">
        <v>119</v>
      </c>
      <c r="D39" s="844" t="s">
        <v>117</v>
      </c>
      <c r="E39" s="947">
        <f t="shared" ref="E39:J39" si="62">SUM(E41:E45)</f>
        <v>7</v>
      </c>
      <c r="F39" s="947">
        <f t="shared" si="62"/>
        <v>7</v>
      </c>
      <c r="G39" s="947">
        <f t="shared" si="62"/>
        <v>5</v>
      </c>
      <c r="H39" s="947">
        <f t="shared" si="62"/>
        <v>7</v>
      </c>
      <c r="I39" s="947">
        <f t="shared" si="62"/>
        <v>7</v>
      </c>
      <c r="J39" s="947">
        <f t="shared" si="62"/>
        <v>7</v>
      </c>
      <c r="K39" s="947">
        <f t="shared" ref="K39:Q39" si="63">SUM(K41:K45)</f>
        <v>7</v>
      </c>
      <c r="L39" s="947">
        <f t="shared" si="63"/>
        <v>7</v>
      </c>
      <c r="M39" s="947">
        <f t="shared" si="63"/>
        <v>7</v>
      </c>
      <c r="N39" s="947">
        <f t="shared" si="63"/>
        <v>7</v>
      </c>
      <c r="O39" s="947">
        <f t="shared" si="63"/>
        <v>7</v>
      </c>
      <c r="P39" s="947">
        <f t="shared" ref="P39" si="64">SUM(P41:P45)</f>
        <v>7</v>
      </c>
      <c r="Q39" s="947">
        <f t="shared" si="63"/>
        <v>7</v>
      </c>
      <c r="S39" s="975">
        <f t="shared" ref="S39:S54" si="65">HLOOKUP($D$6,$E$9:$Q$231,$A39,FALSE)</f>
        <v>7</v>
      </c>
      <c r="T39" s="222"/>
      <c r="U39" s="230"/>
      <c r="V39" s="230"/>
      <c r="W39" s="1113">
        <f>'Manuell filtrering og justering'!E17</f>
        <v>0</v>
      </c>
      <c r="X39" s="977"/>
      <c r="Y39" s="1195">
        <f t="shared" ref="Y39:AA39" si="66">SUM(Y41:Y45)</f>
        <v>4</v>
      </c>
      <c r="Z39" s="977">
        <f t="shared" ref="Z39:Z54" si="67">IF(SUM(T39:X39)&gt;S39,S39,SUM(T39:X39))</f>
        <v>0</v>
      </c>
      <c r="AA39" s="1081">
        <f t="shared" si="66"/>
        <v>7</v>
      </c>
      <c r="AC39" s="171">
        <f t="shared" ref="AC39:AC65" si="68">(Hea_Weight/Hea_Credits)*AA39</f>
        <v>5.894736842105263E-2</v>
      </c>
      <c r="AD39" s="935">
        <f>SUM(AD41:AD45)</f>
        <v>0</v>
      </c>
      <c r="AE39" s="935">
        <f>SUM(AE41:AE45)</f>
        <v>0</v>
      </c>
      <c r="AF39" s="935">
        <f>SUM(AF41:AF45)</f>
        <v>0</v>
      </c>
      <c r="AH39" s="972">
        <f t="shared" ref="AH39:AJ39" si="69">SUM(AH41:AH45)</f>
        <v>0</v>
      </c>
      <c r="AI39" s="972">
        <f t="shared" si="69"/>
        <v>0</v>
      </c>
      <c r="AJ39" s="972">
        <f t="shared" si="69"/>
        <v>0</v>
      </c>
      <c r="AK39" s="96" t="s">
        <v>428</v>
      </c>
      <c r="AL39" s="298"/>
      <c r="AM39" s="299"/>
      <c r="AN39" s="299"/>
      <c r="AO39" s="299"/>
      <c r="AP39" s="300"/>
      <c r="AR39" s="298"/>
      <c r="AS39" s="299"/>
      <c r="AT39" s="299"/>
      <c r="AU39" s="299"/>
      <c r="AV39" s="300"/>
      <c r="AX39" s="218"/>
      <c r="AY39" s="219"/>
      <c r="AZ39" s="219"/>
      <c r="BA39" s="219"/>
      <c r="BB39" s="220"/>
      <c r="BC39" s="174">
        <f t="shared" si="59"/>
        <v>9</v>
      </c>
      <c r="BD39" s="164" t="str">
        <f t="shared" ref="BD39:BD65" si="70">VLOOKUP(BC39,$BN$282:$BS$288,6,FALSE)</f>
        <v>N/A</v>
      </c>
      <c r="BE39" s="178"/>
      <c r="BF39" s="174">
        <f t="shared" ref="BF39:BF65" si="71">IF(BB39=0,9,IF(AI39&gt;=BB39,5,IF(AI39&gt;=BA39,4,IF(AI39&gt;=AZ39,3,IF(AI39&gt;=AY39,2,IF(AI39&lt;AX39,0,1))))))</f>
        <v>9</v>
      </c>
      <c r="BG39" s="164" t="str">
        <f t="shared" ref="BG39:BG65" si="72">VLOOKUP(BF39,$BN$282:$BS$288,6,FALSE)</f>
        <v>N/A</v>
      </c>
      <c r="BH39" s="178"/>
      <c r="BI39" s="174">
        <f t="shared" si="27"/>
        <v>9</v>
      </c>
      <c r="BJ39" s="164" t="str">
        <f t="shared" ref="BJ39:BJ65" si="73">VLOOKUP(BI39,$BN$282:$BS$288,6,FALSE)</f>
        <v>N/A</v>
      </c>
      <c r="BK39" s="178"/>
      <c r="BN39" s="167"/>
      <c r="BO39" s="167"/>
      <c r="BP39" s="167" t="str">
        <f t="shared" si="15"/>
        <v/>
      </c>
      <c r="BQ39" s="167">
        <f t="shared" si="54"/>
        <v>9</v>
      </c>
      <c r="BR39" s="167">
        <f t="shared" si="55"/>
        <v>9</v>
      </c>
      <c r="BS39" s="167">
        <f t="shared" si="56"/>
        <v>9</v>
      </c>
      <c r="BV39" s="682" t="str">
        <f>C39</f>
        <v>Hea 01</v>
      </c>
      <c r="BW39" s="164" t="str">
        <f>IFERROR(VLOOKUP($D39,'Pre-Assessment Estimator'!$E$11:$AB$224,'Pre-Assessment Estimator'!AB$2,FALSE),"")</f>
        <v>No</v>
      </c>
      <c r="BX39" s="682" t="str">
        <f>IFERROR(VLOOKUP($D39,'Pre-Assessment Estimator'!$E$11:$AI$224,'Pre-Assessment Estimator'!AI$2,FALSE),"")</f>
        <v>Ja</v>
      </c>
      <c r="BY39" s="164">
        <f>IFERROR(VLOOKUP($BW39,$D$291:$G$324,E$289,FALSE),"")</f>
        <v>1</v>
      </c>
      <c r="BZ39" s="680" t="s">
        <v>431</v>
      </c>
      <c r="CA39" s="164">
        <f>G296</f>
        <v>2</v>
      </c>
      <c r="CB39" s="96" t="str">
        <f t="shared" si="58"/>
        <v/>
      </c>
      <c r="CC39" s="689" t="s">
        <v>406</v>
      </c>
      <c r="CD39" s="167">
        <f t="shared" ref="CD39:CD55" si="74">VLOOKUP(BZ39,$BZ$4:$CA$5,2,FALSE)</f>
        <v>0</v>
      </c>
      <c r="CF39" s="689">
        <f>IF($BW$5=ais_no,CD39,IF(CC39=$BX$5,IF(AND(BZ39=$BZ$4,BW39=$CB$4),0,BY39),CD39))</f>
        <v>0</v>
      </c>
    </row>
    <row r="40" spans="1:86" x14ac:dyDescent="0.25">
      <c r="A40" s="96">
        <v>32</v>
      </c>
      <c r="B40" s="137"/>
      <c r="C40" s="846" t="s">
        <v>696</v>
      </c>
      <c r="D40" s="954" t="s">
        <v>960</v>
      </c>
      <c r="E40" s="780"/>
      <c r="F40" s="780"/>
      <c r="G40" s="780"/>
      <c r="H40" s="780"/>
      <c r="I40" s="780"/>
      <c r="J40" s="780"/>
      <c r="K40" s="780"/>
      <c r="L40" s="780"/>
      <c r="M40" s="780"/>
      <c r="N40" s="780"/>
      <c r="O40" s="780"/>
      <c r="P40" s="780"/>
      <c r="Q40" s="780"/>
      <c r="S40" s="212">
        <f t="shared" si="65"/>
        <v>0</v>
      </c>
      <c r="T40" s="166"/>
      <c r="U40" s="167"/>
      <c r="V40" s="167"/>
      <c r="W40" s="168"/>
      <c r="X40" s="169"/>
      <c r="Y40" s="1175"/>
      <c r="Z40" s="169">
        <f t="shared" si="67"/>
        <v>0</v>
      </c>
      <c r="AA40" s="170">
        <f>IF($AB$5='Manuell filtrering og justering'!$J$2,Y40,(S40-Z40))</f>
        <v>0</v>
      </c>
      <c r="AC40" s="171">
        <f t="shared" ref="AC40" si="75">(Hea_Weight/Hea_Credits)*AA40</f>
        <v>0</v>
      </c>
      <c r="AD40" s="171">
        <f t="shared" ref="AD40" si="76">IF(AA40=0,0,(AC40/AA40)*AH40)</f>
        <v>0</v>
      </c>
      <c r="AE40" s="171">
        <f t="shared" ref="AE40" si="77">IF(AA40=0,0,(AC40/AA40)*AI40)</f>
        <v>0</v>
      </c>
      <c r="AF40" s="171">
        <f t="shared" ref="AF40" si="78">IF(AA40=0,0,(AC40/AA40)*AJ40)</f>
        <v>0</v>
      </c>
      <c r="AH40" s="172">
        <f>IF(VLOOKUP(D40,'Pre-Assessment Estimator'!$E$11:$Z$224,'Pre-Assessment Estimator'!$G$2,FALSE)&gt;AA40,AA40,VLOOKUP(D40,'Pre-Assessment Estimator'!$E$11:$Z$224,'Pre-Assessment Estimator'!$G$2,FALSE))</f>
        <v>0</v>
      </c>
      <c r="AI40" s="172">
        <f>IF(VLOOKUP(D40,'Pre-Assessment Estimator'!$E$11:$Z$224,'Pre-Assessment Estimator'!$N$2,FALSE)&gt;AA40,AA40,VLOOKUP(D40,'Pre-Assessment Estimator'!$E$11:$Z$224,'Pre-Assessment Estimator'!$N$2,FALSE))</f>
        <v>0</v>
      </c>
      <c r="AJ40" s="172">
        <f>IF(VLOOKUP(D40,'Pre-Assessment Estimator'!$E$11:$Z$224,'Pre-Assessment Estimator'!$U$2,FALSE)&gt;AA40,AA40,VLOOKUP(D40,'Pre-Assessment Estimator'!$E$11:$Z$224,'Pre-Assessment Estimator'!$U$2,FALSE))</f>
        <v>0</v>
      </c>
      <c r="AL40" s="291"/>
      <c r="AM40" s="181"/>
      <c r="AN40" s="304"/>
      <c r="AO40" s="293"/>
      <c r="AP40" s="294"/>
      <c r="AR40" s="292"/>
      <c r="AS40" s="293"/>
      <c r="AT40" s="293"/>
      <c r="AU40" s="293"/>
      <c r="AV40" s="294"/>
      <c r="AX40" s="182"/>
      <c r="AY40" s="183"/>
      <c r="AZ40" s="183"/>
      <c r="BA40" s="183"/>
      <c r="BB40" s="176"/>
      <c r="BC40" s="695">
        <f t="shared" ref="BC40" si="79">IF(BB40=0,9,IF((AH40-CF40)&gt;=BB40,5,IF((AH40-CF40)&gt;=BA40,4,IF((AH40-CF40)&gt;=AZ40,3,IF((AH40-CF40)&gt;=AY40,2,IF((AH40-CF40)&lt;AX40,0,1))))))</f>
        <v>9</v>
      </c>
      <c r="BD40" s="164" t="str">
        <f t="shared" si="70"/>
        <v>N/A</v>
      </c>
      <c r="BE40" s="185"/>
      <c r="BF40" s="182">
        <f t="shared" ref="BF40" si="80">IF(BB40=0,9,IF((AI40-CF40)&gt;=BB40,5,IF((AI40-CF40)&gt;=BA40,4,IF((AI40-CF40)&gt;=AZ40,3,IF((AI40-CF40)&gt;=AY40,2,IF((AI40-CF40)&lt;AX40,0,1))))))</f>
        <v>9</v>
      </c>
      <c r="BG40" s="164" t="str">
        <f t="shared" si="72"/>
        <v>N/A</v>
      </c>
      <c r="BH40" s="185"/>
      <c r="BI40" s="182">
        <f t="shared" ref="BI40" si="81">IF(BB40=0,9,IF((AJ40-CF40)&gt;=BB40,5,IF((AJ40-CF40)&gt;=BA40,4,IF((AJ40-CF40)&gt;=AZ40,3,IF((AJ40-CF40)&gt;=AY40,2,IF((AJ40-CF40)&lt;AX40,0,1))))))</f>
        <v>9</v>
      </c>
      <c r="BJ40" s="164" t="str">
        <f t="shared" si="73"/>
        <v>N/A</v>
      </c>
      <c r="BK40" s="185"/>
      <c r="BN40" s="167"/>
      <c r="BO40" s="167"/>
      <c r="BP40" s="167" t="str">
        <f t="shared" si="15"/>
        <v/>
      </c>
      <c r="BQ40" s="167">
        <f t="shared" si="54"/>
        <v>9</v>
      </c>
      <c r="BR40" s="167">
        <f t="shared" si="55"/>
        <v>9</v>
      </c>
      <c r="BS40" s="167">
        <f t="shared" si="56"/>
        <v>9</v>
      </c>
      <c r="BV40" s="682"/>
      <c r="BW40" s="164"/>
      <c r="BX40" s="682"/>
      <c r="BY40" s="164"/>
      <c r="BZ40" s="680"/>
      <c r="CA40" s="164"/>
      <c r="CC40" s="689"/>
      <c r="CD40" s="167"/>
      <c r="CF40" s="689"/>
    </row>
    <row r="41" spans="1:86" x14ac:dyDescent="0.25">
      <c r="A41" s="96">
        <v>33</v>
      </c>
      <c r="B41" s="96" t="str">
        <f t="shared" ref="B41:B45" si="82">$C$39&amp;C41</f>
        <v>Hea 01b</v>
      </c>
      <c r="C41" s="163" t="s">
        <v>699</v>
      </c>
      <c r="D41" s="1122" t="s">
        <v>606</v>
      </c>
      <c r="E41" s="953">
        <v>3</v>
      </c>
      <c r="F41" s="953">
        <v>3</v>
      </c>
      <c r="G41" s="953">
        <v>3</v>
      </c>
      <c r="H41" s="953">
        <v>3</v>
      </c>
      <c r="I41" s="953">
        <v>3</v>
      </c>
      <c r="J41" s="953">
        <v>3</v>
      </c>
      <c r="K41" s="953">
        <v>3</v>
      </c>
      <c r="L41" s="953">
        <v>3</v>
      </c>
      <c r="M41" s="953">
        <v>3</v>
      </c>
      <c r="N41" s="953">
        <v>3</v>
      </c>
      <c r="O41" s="953">
        <v>3</v>
      </c>
      <c r="P41" s="953">
        <v>3</v>
      </c>
      <c r="Q41" s="953">
        <v>3</v>
      </c>
      <c r="S41" s="212">
        <f t="shared" si="65"/>
        <v>3</v>
      </c>
      <c r="T41" s="166"/>
      <c r="U41" s="167"/>
      <c r="V41" s="167"/>
      <c r="W41" s="168"/>
      <c r="X41" s="169"/>
      <c r="Y41" s="1175">
        <f>VLOOKUP(B41,'Manuell filtrering og justering'!$A$7:$H$107,'Manuell filtrering og justering'!$H$1,FALSE)</f>
        <v>1</v>
      </c>
      <c r="Z41" s="169">
        <f t="shared" si="67"/>
        <v>0</v>
      </c>
      <c r="AA41" s="170">
        <f>IF($AB$5='Manuell filtrering og justering'!$J$2,Y41,(S41-Z41))</f>
        <v>3</v>
      </c>
      <c r="AC41" s="171">
        <f t="shared" si="68"/>
        <v>2.5263157894736842E-2</v>
      </c>
      <c r="AD41" s="171">
        <f>IF(AA41=0,0,(AC41/AA41)*AH41)</f>
        <v>0</v>
      </c>
      <c r="AE41" s="171">
        <f>IF(AA41=0,0,(AC41/AA41)*AI41)</f>
        <v>0</v>
      </c>
      <c r="AF41" s="171">
        <f>IF(AA41=0,0,(AC41/AA41)*AJ41)</f>
        <v>0</v>
      </c>
      <c r="AH41" s="1082">
        <f>IF(AH$234=AD_no,0,IF(VLOOKUP(D41,'Pre-Assessment Estimator'!$E$11:$Z$224,'Pre-Assessment Estimator'!$G$2,FALSE)&gt;AA41,AA41,VLOOKUP(D41,'Pre-Assessment Estimator'!$E$11:$Z$224,'Pre-Assessment Estimator'!$G$2,FALSE)))</f>
        <v>0</v>
      </c>
      <c r="AI41" s="1082">
        <f>IF($AI$234=AD_no,0,IF(VLOOKUP(D41,'Pre-Assessment Estimator'!$E$11:$Z$224,'Pre-Assessment Estimator'!$N$2,FALSE)&gt;AA41,AA41,VLOOKUP(D41,'Pre-Assessment Estimator'!$E$11:$Z$224,'Pre-Assessment Estimator'!$N$2,FALSE)))</f>
        <v>0</v>
      </c>
      <c r="AJ41" s="1082">
        <f>IF($AJ$234=AD_no,0,IF(VLOOKUP(D41,'Pre-Assessment Estimator'!$E$11:$Z$224,'Pre-Assessment Estimator'!$U$2,FALSE)&gt;AA41,AA41,VLOOKUP(D41,'Pre-Assessment Estimator'!$E$11:$Z$224,'Pre-Assessment Estimator'!$U$2,FALSE)))</f>
        <v>0</v>
      </c>
      <c r="AL41" s="848"/>
      <c r="AM41" s="849"/>
      <c r="AN41" s="849"/>
      <c r="AO41" s="849"/>
      <c r="AP41" s="850"/>
      <c r="AR41" s="848"/>
      <c r="AS41" s="849"/>
      <c r="AT41" s="849"/>
      <c r="AU41" s="849"/>
      <c r="AV41" s="850"/>
      <c r="AX41" s="719"/>
      <c r="AY41" s="720"/>
      <c r="AZ41" s="720"/>
      <c r="BA41" s="720"/>
      <c r="BB41" s="851"/>
      <c r="BC41" s="695">
        <f t="shared" ref="BC41:BC45" si="83">IF(BB41=0,9,IF((AH41-CF41)&gt;=BB41,5,IF((AH41-CF41)&gt;=BA41,4,IF((AH41-CF41)&gt;=AZ41,3,IF((AH41-CF41)&gt;=AY41,2,IF((AH41-CF41)&lt;AX41,0,1))))))</f>
        <v>9</v>
      </c>
      <c r="BD41" s="164" t="str">
        <f t="shared" si="70"/>
        <v>N/A</v>
      </c>
      <c r="BE41" s="185"/>
      <c r="BF41" s="182">
        <f t="shared" ref="BF41:BF45" si="84">IF(BB41=0,9,IF((AI41-CF41)&gt;=BB41,5,IF((AI41-CF41)&gt;=BA41,4,IF((AI41-CF41)&gt;=AZ41,3,IF((AI41-CF41)&gt;=AY41,2,IF((AI41-CF41)&lt;AX41,0,1))))))</f>
        <v>9</v>
      </c>
      <c r="BG41" s="164" t="str">
        <f t="shared" si="72"/>
        <v>N/A</v>
      </c>
      <c r="BH41" s="185"/>
      <c r="BI41" s="182">
        <f t="shared" ref="BI41:BI45" si="85">IF(BB41=0,9,IF((AJ41-CF41)&gt;=BB41,5,IF((AJ41-CF41)&gt;=BA41,4,IF((AJ41-CF41)&gt;=AZ41,3,IF((AJ41-CF41)&gt;=AY41,2,IF((AJ41-CF41)&lt;AX41,0,1))))))</f>
        <v>9</v>
      </c>
      <c r="BJ41" s="164" t="str">
        <f t="shared" si="73"/>
        <v>N/A</v>
      </c>
      <c r="BK41" s="843"/>
      <c r="BN41" s="167"/>
      <c r="BO41" s="167"/>
      <c r="BP41" s="167" t="str">
        <f t="shared" si="15"/>
        <v/>
      </c>
      <c r="BQ41" s="167">
        <f t="shared" si="54"/>
        <v>9</v>
      </c>
      <c r="BR41" s="167">
        <f t="shared" si="55"/>
        <v>9</v>
      </c>
      <c r="BS41" s="167">
        <f t="shared" si="56"/>
        <v>9</v>
      </c>
      <c r="BV41" s="682"/>
      <c r="BW41" s="164"/>
      <c r="BX41" s="682"/>
      <c r="BY41" s="164"/>
      <c r="BZ41" s="680"/>
      <c r="CA41" s="164"/>
      <c r="CC41" s="689"/>
      <c r="CD41" s="167"/>
      <c r="CF41" s="689"/>
    </row>
    <row r="42" spans="1:86" x14ac:dyDescent="0.25">
      <c r="A42" s="96">
        <v>34</v>
      </c>
      <c r="B42" s="96" t="str">
        <f t="shared" si="82"/>
        <v>Hea 01c</v>
      </c>
      <c r="C42" s="163" t="s">
        <v>700</v>
      </c>
      <c r="D42" s="1122" t="s">
        <v>607</v>
      </c>
      <c r="E42" s="953">
        <v>1</v>
      </c>
      <c r="F42" s="953">
        <v>1</v>
      </c>
      <c r="G42" s="1036">
        <v>0</v>
      </c>
      <c r="H42" s="953">
        <v>1</v>
      </c>
      <c r="I42" s="953">
        <v>1</v>
      </c>
      <c r="J42" s="953">
        <v>1</v>
      </c>
      <c r="K42" s="953">
        <v>1</v>
      </c>
      <c r="L42" s="953">
        <v>1</v>
      </c>
      <c r="M42" s="953">
        <v>1</v>
      </c>
      <c r="N42" s="953">
        <v>1</v>
      </c>
      <c r="O42" s="953">
        <v>1</v>
      </c>
      <c r="P42" s="953">
        <v>1</v>
      </c>
      <c r="Q42" s="953">
        <v>1</v>
      </c>
      <c r="S42" s="212">
        <f t="shared" si="65"/>
        <v>1</v>
      </c>
      <c r="T42" s="166"/>
      <c r="U42" s="167"/>
      <c r="V42" s="167"/>
      <c r="W42" s="168"/>
      <c r="X42" s="169">
        <f>IF(OR($X$4=$X$5,$X$4=$X$6),S42,0)</f>
        <v>0</v>
      </c>
      <c r="Y42" s="1175">
        <f>VLOOKUP(B42,'Manuell filtrering og justering'!$A$7:$H$107,'Manuell filtrering og justering'!$H$1,FALSE)</f>
        <v>1</v>
      </c>
      <c r="Z42" s="169">
        <f t="shared" si="67"/>
        <v>0</v>
      </c>
      <c r="AA42" s="170">
        <f>IF($AB$5='Manuell filtrering og justering'!$J$2,Y42,(S42-Z42))</f>
        <v>1</v>
      </c>
      <c r="AC42" s="171">
        <f t="shared" si="68"/>
        <v>8.4210526315789472E-3</v>
      </c>
      <c r="AD42" s="171">
        <f t="shared" ref="AD42:AD64" si="86">IF(AA42=0,0,(AC42/AA42)*AH42)</f>
        <v>0</v>
      </c>
      <c r="AE42" s="171">
        <f t="shared" ref="AE42:AE64" si="87">IF(AA42=0,0,(AC42/AA42)*AI42)</f>
        <v>0</v>
      </c>
      <c r="AF42" s="171">
        <f t="shared" ref="AF42:AF64" si="88">IF(AA42=0,0,(AC42/AA42)*AJ42)</f>
        <v>0</v>
      </c>
      <c r="AH42" s="1082">
        <f>IF(AH$234=AD_no,0,IF(VLOOKUP(D42,'Pre-Assessment Estimator'!$E$11:$Z$224,'Pre-Assessment Estimator'!$G$2,FALSE)&gt;AA42,AA42,VLOOKUP(D42,'Pre-Assessment Estimator'!$E$11:$Z$224,'Pre-Assessment Estimator'!$G$2,FALSE)))</f>
        <v>0</v>
      </c>
      <c r="AI42" s="1082">
        <f>IF($AI$234=AD_no,0,IF(VLOOKUP(D42,'Pre-Assessment Estimator'!$E$11:$Z$224,'Pre-Assessment Estimator'!$N$2,FALSE)&gt;AA42,AA42,VLOOKUP(D42,'Pre-Assessment Estimator'!$E$11:$Z$224,'Pre-Assessment Estimator'!$N$2,FALSE)))</f>
        <v>0</v>
      </c>
      <c r="AJ42" s="1082">
        <f>IF($AJ$234=AD_no,0,IF(VLOOKUP(D42,'Pre-Assessment Estimator'!$E$11:$Z$224,'Pre-Assessment Estimator'!$U$2,FALSE)&gt;AA42,AA42,VLOOKUP(D42,'Pre-Assessment Estimator'!$E$11:$Z$224,'Pre-Assessment Estimator'!$U$2,FALSE)))</f>
        <v>0</v>
      </c>
      <c r="AL42" s="848"/>
      <c r="AM42" s="849"/>
      <c r="AN42" s="849"/>
      <c r="AO42" s="849"/>
      <c r="AP42" s="850"/>
      <c r="AR42" s="848"/>
      <c r="AS42" s="849"/>
      <c r="AT42" s="849"/>
      <c r="AU42" s="849"/>
      <c r="AV42" s="850"/>
      <c r="AX42" s="719"/>
      <c r="AY42" s="720"/>
      <c r="AZ42" s="720"/>
      <c r="BA42" s="720"/>
      <c r="BB42" s="851"/>
      <c r="BC42" s="695">
        <f t="shared" si="83"/>
        <v>9</v>
      </c>
      <c r="BD42" s="164" t="str">
        <f t="shared" si="70"/>
        <v>N/A</v>
      </c>
      <c r="BE42" s="185"/>
      <c r="BF42" s="182">
        <f t="shared" si="84"/>
        <v>9</v>
      </c>
      <c r="BG42" s="164" t="str">
        <f t="shared" si="72"/>
        <v>N/A</v>
      </c>
      <c r="BH42" s="185"/>
      <c r="BI42" s="182">
        <f t="shared" si="85"/>
        <v>9</v>
      </c>
      <c r="BJ42" s="164" t="str">
        <f t="shared" si="73"/>
        <v>N/A</v>
      </c>
      <c r="BK42" s="843"/>
      <c r="BN42" s="167"/>
      <c r="BO42" s="167"/>
      <c r="BP42" s="167" t="str">
        <f t="shared" si="15"/>
        <v/>
      </c>
      <c r="BQ42" s="167">
        <f t="shared" si="54"/>
        <v>9</v>
      </c>
      <c r="BR42" s="167">
        <f t="shared" si="55"/>
        <v>9</v>
      </c>
      <c r="BS42" s="167">
        <f t="shared" si="56"/>
        <v>9</v>
      </c>
      <c r="BV42" s="682"/>
      <c r="BW42" s="164"/>
      <c r="BX42" s="682"/>
      <c r="BY42" s="164"/>
      <c r="BZ42" s="680"/>
      <c r="CA42" s="164"/>
      <c r="CC42" s="689"/>
      <c r="CD42" s="167"/>
      <c r="CF42" s="689"/>
    </row>
    <row r="43" spans="1:86" x14ac:dyDescent="0.25">
      <c r="A43" s="96">
        <v>35</v>
      </c>
      <c r="B43" s="96" t="str">
        <f t="shared" si="82"/>
        <v>Hea 01d</v>
      </c>
      <c r="C43" s="163" t="s">
        <v>698</v>
      </c>
      <c r="D43" s="1122" t="s">
        <v>608</v>
      </c>
      <c r="E43" s="953">
        <v>1</v>
      </c>
      <c r="F43" s="953">
        <v>1</v>
      </c>
      <c r="G43" s="953">
        <v>1</v>
      </c>
      <c r="H43" s="953">
        <v>1</v>
      </c>
      <c r="I43" s="953">
        <v>1</v>
      </c>
      <c r="J43" s="953">
        <v>1</v>
      </c>
      <c r="K43" s="953">
        <v>1</v>
      </c>
      <c r="L43" s="953">
        <v>1</v>
      </c>
      <c r="M43" s="953">
        <v>1</v>
      </c>
      <c r="N43" s="953">
        <v>1</v>
      </c>
      <c r="O43" s="953">
        <v>1</v>
      </c>
      <c r="P43" s="953">
        <v>1</v>
      </c>
      <c r="Q43" s="953">
        <v>1</v>
      </c>
      <c r="S43" s="212">
        <f t="shared" si="65"/>
        <v>1</v>
      </c>
      <c r="T43" s="166"/>
      <c r="U43" s="167"/>
      <c r="V43" s="167"/>
      <c r="W43" s="168"/>
      <c r="X43" s="169"/>
      <c r="Y43" s="1175">
        <f>VLOOKUP(B43,'Manuell filtrering og justering'!$A$7:$H$107,'Manuell filtrering og justering'!$H$1,FALSE)</f>
        <v>1</v>
      </c>
      <c r="Z43" s="169">
        <f t="shared" si="67"/>
        <v>0</v>
      </c>
      <c r="AA43" s="170">
        <f>IF($AB$5='Manuell filtrering og justering'!$J$2,Y43,(S43-Z43))</f>
        <v>1</v>
      </c>
      <c r="AC43" s="171">
        <f t="shared" si="68"/>
        <v>8.4210526315789472E-3</v>
      </c>
      <c r="AD43" s="171">
        <f t="shared" si="86"/>
        <v>0</v>
      </c>
      <c r="AE43" s="171">
        <f t="shared" si="87"/>
        <v>0</v>
      </c>
      <c r="AF43" s="171">
        <f t="shared" si="88"/>
        <v>0</v>
      </c>
      <c r="AH43" s="1082">
        <f>IF(AH$234=AD_no,0,IF(VLOOKUP(D43,'Pre-Assessment Estimator'!$E$11:$Z$224,'Pre-Assessment Estimator'!$G$2,FALSE)&gt;AA43,AA43,VLOOKUP(D43,'Pre-Assessment Estimator'!$E$11:$Z$224,'Pre-Assessment Estimator'!$G$2,FALSE)))</f>
        <v>0</v>
      </c>
      <c r="AI43" s="1082">
        <f>IF($AI$234=AD_no,0,IF(VLOOKUP(D43,'Pre-Assessment Estimator'!$E$11:$Z$224,'Pre-Assessment Estimator'!$N$2,FALSE)&gt;AA43,AA43,VLOOKUP(D43,'Pre-Assessment Estimator'!$E$11:$Z$224,'Pre-Assessment Estimator'!$N$2,FALSE)))</f>
        <v>0</v>
      </c>
      <c r="AJ43" s="1082">
        <f>IF($AJ$234=AD_no,0,IF(VLOOKUP(D43,'Pre-Assessment Estimator'!$E$11:$Z$224,'Pre-Assessment Estimator'!$U$2,FALSE)&gt;AA43,AA43,VLOOKUP(D43,'Pre-Assessment Estimator'!$E$11:$Z$224,'Pre-Assessment Estimator'!$U$2,FALSE)))</f>
        <v>0</v>
      </c>
      <c r="AL43" s="848"/>
      <c r="AM43" s="849"/>
      <c r="AN43" s="849"/>
      <c r="AO43" s="849"/>
      <c r="AP43" s="850"/>
      <c r="AR43" s="848"/>
      <c r="AS43" s="849"/>
      <c r="AT43" s="849"/>
      <c r="AU43" s="849"/>
      <c r="AV43" s="850"/>
      <c r="AX43" s="719"/>
      <c r="AY43" s="720"/>
      <c r="AZ43" s="720"/>
      <c r="BA43" s="720"/>
      <c r="BB43" s="851"/>
      <c r="BC43" s="695">
        <f t="shared" si="83"/>
        <v>9</v>
      </c>
      <c r="BD43" s="164" t="str">
        <f t="shared" si="70"/>
        <v>N/A</v>
      </c>
      <c r="BE43" s="185"/>
      <c r="BF43" s="182">
        <f t="shared" si="84"/>
        <v>9</v>
      </c>
      <c r="BG43" s="164" t="str">
        <f t="shared" si="72"/>
        <v>N/A</v>
      </c>
      <c r="BH43" s="185"/>
      <c r="BI43" s="182">
        <f t="shared" si="85"/>
        <v>9</v>
      </c>
      <c r="BJ43" s="164" t="str">
        <f t="shared" si="73"/>
        <v>N/A</v>
      </c>
      <c r="BK43" s="843"/>
      <c r="BN43" s="167"/>
      <c r="BO43" s="167"/>
      <c r="BP43" s="167" t="str">
        <f t="shared" si="15"/>
        <v/>
      </c>
      <c r="BQ43" s="167">
        <f t="shared" si="54"/>
        <v>9</v>
      </c>
      <c r="BR43" s="167">
        <f t="shared" si="55"/>
        <v>9</v>
      </c>
      <c r="BS43" s="167">
        <f t="shared" si="56"/>
        <v>9</v>
      </c>
      <c r="BV43" s="682"/>
      <c r="BW43" s="164"/>
      <c r="BX43" s="682"/>
      <c r="BY43" s="164"/>
      <c r="BZ43" s="680"/>
      <c r="CA43" s="164"/>
      <c r="CC43" s="689"/>
      <c r="CD43" s="167"/>
      <c r="CF43" s="689"/>
    </row>
    <row r="44" spans="1:86" x14ac:dyDescent="0.25">
      <c r="A44" s="96">
        <v>36</v>
      </c>
      <c r="B44" s="96" t="str">
        <f t="shared" si="82"/>
        <v>Hea 01e</v>
      </c>
      <c r="C44" s="163" t="s">
        <v>697</v>
      </c>
      <c r="D44" s="1122" t="s">
        <v>609</v>
      </c>
      <c r="E44" s="953">
        <v>1</v>
      </c>
      <c r="F44" s="953">
        <v>1</v>
      </c>
      <c r="G44" s="953">
        <v>1</v>
      </c>
      <c r="H44" s="953">
        <v>1</v>
      </c>
      <c r="I44" s="953">
        <v>1</v>
      </c>
      <c r="J44" s="953">
        <v>1</v>
      </c>
      <c r="K44" s="953">
        <v>1</v>
      </c>
      <c r="L44" s="953">
        <v>1</v>
      </c>
      <c r="M44" s="953">
        <v>1</v>
      </c>
      <c r="N44" s="953">
        <v>1</v>
      </c>
      <c r="O44" s="953">
        <v>1</v>
      </c>
      <c r="P44" s="953">
        <v>1</v>
      </c>
      <c r="Q44" s="953">
        <v>1</v>
      </c>
      <c r="S44" s="212">
        <f t="shared" si="65"/>
        <v>1</v>
      </c>
      <c r="T44" s="166"/>
      <c r="U44" s="167"/>
      <c r="V44" s="167"/>
      <c r="W44" s="168"/>
      <c r="X44" s="169"/>
      <c r="Y44" s="1175">
        <f>VLOOKUP(B44,'Manuell filtrering og justering'!$A$7:$H$107,'Manuell filtrering og justering'!$H$1,FALSE)</f>
        <v>1</v>
      </c>
      <c r="Z44" s="169">
        <f t="shared" si="67"/>
        <v>0</v>
      </c>
      <c r="AA44" s="170">
        <f>IF($AB$5='Manuell filtrering og justering'!$J$2,Y44,(S44-Z44))</f>
        <v>1</v>
      </c>
      <c r="AC44" s="171">
        <f t="shared" si="68"/>
        <v>8.4210526315789472E-3</v>
      </c>
      <c r="AD44" s="171">
        <f t="shared" si="86"/>
        <v>0</v>
      </c>
      <c r="AE44" s="171">
        <f t="shared" si="87"/>
        <v>0</v>
      </c>
      <c r="AF44" s="171">
        <f t="shared" si="88"/>
        <v>0</v>
      </c>
      <c r="AH44" s="1082">
        <f>IF(AH$234=AD_no,0,IF(VLOOKUP(D44,'Pre-Assessment Estimator'!$E$11:$Z$224,'Pre-Assessment Estimator'!$G$2,FALSE)&gt;AA44,AA44,VLOOKUP(D44,'Pre-Assessment Estimator'!$E$11:$Z$224,'Pre-Assessment Estimator'!$G$2,FALSE)))</f>
        <v>0</v>
      </c>
      <c r="AI44" s="1082">
        <f>IF($AI$234=AD_no,0,IF(VLOOKUP(D44,'Pre-Assessment Estimator'!$E$11:$Z$224,'Pre-Assessment Estimator'!$N$2,FALSE)&gt;AA44,AA44,VLOOKUP(D44,'Pre-Assessment Estimator'!$E$11:$Z$224,'Pre-Assessment Estimator'!$N$2,FALSE)))</f>
        <v>0</v>
      </c>
      <c r="AJ44" s="1082">
        <f>IF($AJ$234=AD_no,0,IF(VLOOKUP(D44,'Pre-Assessment Estimator'!$E$11:$Z$224,'Pre-Assessment Estimator'!$U$2,FALSE)&gt;AA44,AA44,VLOOKUP(D44,'Pre-Assessment Estimator'!$E$11:$Z$224,'Pre-Assessment Estimator'!$U$2,FALSE)))</f>
        <v>0</v>
      </c>
      <c r="AL44" s="848"/>
      <c r="AM44" s="849"/>
      <c r="AN44" s="849"/>
      <c r="AO44" s="849"/>
      <c r="AP44" s="850"/>
      <c r="AR44" s="848"/>
      <c r="AS44" s="849"/>
      <c r="AT44" s="849"/>
      <c r="AU44" s="849"/>
      <c r="AV44" s="850"/>
      <c r="AX44" s="719"/>
      <c r="AY44" s="720"/>
      <c r="AZ44" s="720"/>
      <c r="BA44" s="720"/>
      <c r="BB44" s="851"/>
      <c r="BC44" s="695">
        <f t="shared" si="83"/>
        <v>9</v>
      </c>
      <c r="BD44" s="164" t="str">
        <f t="shared" si="70"/>
        <v>N/A</v>
      </c>
      <c r="BE44" s="185"/>
      <c r="BF44" s="182">
        <f t="shared" si="84"/>
        <v>9</v>
      </c>
      <c r="BG44" s="164" t="str">
        <f t="shared" si="72"/>
        <v>N/A</v>
      </c>
      <c r="BH44" s="185"/>
      <c r="BI44" s="182">
        <f t="shared" si="85"/>
        <v>9</v>
      </c>
      <c r="BJ44" s="164" t="str">
        <f t="shared" si="73"/>
        <v>N/A</v>
      </c>
      <c r="BK44" s="843"/>
      <c r="BN44" s="167"/>
      <c r="BO44" s="167"/>
      <c r="BP44" s="167" t="str">
        <f t="shared" si="15"/>
        <v/>
      </c>
      <c r="BQ44" s="167">
        <f t="shared" si="54"/>
        <v>9</v>
      </c>
      <c r="BR44" s="167">
        <f t="shared" si="55"/>
        <v>9</v>
      </c>
      <c r="BS44" s="167">
        <f t="shared" si="56"/>
        <v>9</v>
      </c>
      <c r="BV44" s="682"/>
      <c r="BW44" s="164"/>
      <c r="BX44" s="682"/>
      <c r="BY44" s="164"/>
      <c r="BZ44" s="680"/>
      <c r="CA44" s="164"/>
      <c r="CC44" s="689"/>
      <c r="CD44" s="167"/>
      <c r="CF44" s="689"/>
    </row>
    <row r="45" spans="1:86" x14ac:dyDescent="0.25">
      <c r="A45" s="96">
        <v>37</v>
      </c>
      <c r="B45" s="96" t="str">
        <f t="shared" si="82"/>
        <v>Hea 01f</v>
      </c>
      <c r="C45" s="163" t="s">
        <v>913</v>
      </c>
      <c r="D45" s="1122" t="s">
        <v>610</v>
      </c>
      <c r="E45" s="953">
        <v>1</v>
      </c>
      <c r="F45" s="953">
        <v>1</v>
      </c>
      <c r="G45" s="1036">
        <v>0</v>
      </c>
      <c r="H45" s="953">
        <v>1</v>
      </c>
      <c r="I45" s="953">
        <v>1</v>
      </c>
      <c r="J45" s="953">
        <v>1</v>
      </c>
      <c r="K45" s="953">
        <v>1</v>
      </c>
      <c r="L45" s="953">
        <v>1</v>
      </c>
      <c r="M45" s="953">
        <v>1</v>
      </c>
      <c r="N45" s="953">
        <v>1</v>
      </c>
      <c r="O45" s="953">
        <v>1</v>
      </c>
      <c r="P45" s="953">
        <v>1</v>
      </c>
      <c r="Q45" s="953">
        <v>1</v>
      </c>
      <c r="S45" s="212">
        <f t="shared" si="65"/>
        <v>1</v>
      </c>
      <c r="T45" s="166"/>
      <c r="U45" s="167"/>
      <c r="V45" s="167"/>
      <c r="W45" s="168"/>
      <c r="X45" s="169"/>
      <c r="Y45" s="1175">
        <f>VLOOKUP(B45,'Manuell filtrering og justering'!$A$7:$H$107,'Manuell filtrering og justering'!$H$1,FALSE)</f>
        <v>0</v>
      </c>
      <c r="Z45" s="169">
        <f t="shared" si="67"/>
        <v>0</v>
      </c>
      <c r="AA45" s="170">
        <f>IF($AB$5='Manuell filtrering og justering'!$J$2,Y45,(S45-Z45))</f>
        <v>1</v>
      </c>
      <c r="AC45" s="171">
        <f t="shared" si="68"/>
        <v>8.4210526315789472E-3</v>
      </c>
      <c r="AD45" s="171">
        <f t="shared" si="86"/>
        <v>0</v>
      </c>
      <c r="AE45" s="171">
        <f t="shared" si="87"/>
        <v>0</v>
      </c>
      <c r="AF45" s="171">
        <f t="shared" si="88"/>
        <v>0</v>
      </c>
      <c r="AH45" s="1082">
        <f>IF(AH$234=AD_no,0,IF(VLOOKUP(D45,'Pre-Assessment Estimator'!$E$11:$Z$224,'Pre-Assessment Estimator'!$G$2,FALSE)&gt;AA45,AA45,VLOOKUP(D45,'Pre-Assessment Estimator'!$E$11:$Z$224,'Pre-Assessment Estimator'!$G$2,FALSE)))</f>
        <v>0</v>
      </c>
      <c r="AI45" s="1082">
        <f>IF($AI$234=AD_no,0,IF(VLOOKUP(D45,'Pre-Assessment Estimator'!$E$11:$Z$224,'Pre-Assessment Estimator'!$N$2,FALSE)&gt;AA45,AA45,VLOOKUP(D45,'Pre-Assessment Estimator'!$E$11:$Z$224,'Pre-Assessment Estimator'!$N$2,FALSE)))</f>
        <v>0</v>
      </c>
      <c r="AJ45" s="1082">
        <f>IF($AJ$234=AD_no,0,IF(VLOOKUP(D45,'Pre-Assessment Estimator'!$E$11:$Z$224,'Pre-Assessment Estimator'!$U$2,FALSE)&gt;AA45,AA45,VLOOKUP(D45,'Pre-Assessment Estimator'!$E$11:$Z$224,'Pre-Assessment Estimator'!$U$2,FALSE)))</f>
        <v>0</v>
      </c>
      <c r="AL45" s="848"/>
      <c r="AM45" s="849"/>
      <c r="AN45" s="849"/>
      <c r="AO45" s="849"/>
      <c r="AP45" s="850"/>
      <c r="AR45" s="848"/>
      <c r="AS45" s="849"/>
      <c r="AT45" s="849"/>
      <c r="AU45" s="849"/>
      <c r="AV45" s="850"/>
      <c r="AX45" s="719"/>
      <c r="AY45" s="720"/>
      <c r="AZ45" s="720"/>
      <c r="BA45" s="720"/>
      <c r="BB45" s="851"/>
      <c r="BC45" s="695">
        <f t="shared" si="83"/>
        <v>9</v>
      </c>
      <c r="BD45" s="164" t="str">
        <f t="shared" si="70"/>
        <v>N/A</v>
      </c>
      <c r="BE45" s="185"/>
      <c r="BF45" s="182">
        <f t="shared" si="84"/>
        <v>9</v>
      </c>
      <c r="BG45" s="164" t="str">
        <f t="shared" si="72"/>
        <v>N/A</v>
      </c>
      <c r="BH45" s="185"/>
      <c r="BI45" s="182">
        <f t="shared" si="85"/>
        <v>9</v>
      </c>
      <c r="BJ45" s="164" t="str">
        <f t="shared" si="73"/>
        <v>N/A</v>
      </c>
      <c r="BK45" s="843"/>
      <c r="BN45" s="167"/>
      <c r="BO45" s="167"/>
      <c r="BP45" s="167" t="str">
        <f t="shared" si="15"/>
        <v/>
      </c>
      <c r="BQ45" s="167">
        <f t="shared" si="54"/>
        <v>9</v>
      </c>
      <c r="BR45" s="167">
        <f t="shared" si="55"/>
        <v>9</v>
      </c>
      <c r="BS45" s="167">
        <f t="shared" si="56"/>
        <v>9</v>
      </c>
      <c r="BV45" s="682"/>
      <c r="BW45" s="164"/>
      <c r="BX45" s="682"/>
      <c r="BY45" s="164"/>
      <c r="BZ45" s="680"/>
      <c r="CA45" s="164"/>
      <c r="CC45" s="689"/>
      <c r="CD45" s="167"/>
      <c r="CF45" s="689"/>
    </row>
    <row r="46" spans="1:86" x14ac:dyDescent="0.25">
      <c r="A46" s="96">
        <v>38</v>
      </c>
      <c r="B46" s="137" t="str">
        <f>C46</f>
        <v>Hea 02</v>
      </c>
      <c r="C46" s="847" t="s">
        <v>120</v>
      </c>
      <c r="D46" s="845" t="s">
        <v>114</v>
      </c>
      <c r="E46" s="947">
        <f t="shared" ref="E46:Q46" si="89">SUM(E47:E50)</f>
        <v>4</v>
      </c>
      <c r="F46" s="947">
        <f t="shared" si="89"/>
        <v>4</v>
      </c>
      <c r="G46" s="947">
        <f t="shared" si="89"/>
        <v>4</v>
      </c>
      <c r="H46" s="947">
        <f t="shared" si="89"/>
        <v>4</v>
      </c>
      <c r="I46" s="947">
        <f t="shared" si="89"/>
        <v>4</v>
      </c>
      <c r="J46" s="947">
        <f t="shared" si="89"/>
        <v>4</v>
      </c>
      <c r="K46" s="947">
        <f t="shared" si="89"/>
        <v>4</v>
      </c>
      <c r="L46" s="947">
        <f t="shared" si="89"/>
        <v>4</v>
      </c>
      <c r="M46" s="947">
        <f t="shared" si="89"/>
        <v>4</v>
      </c>
      <c r="N46" s="947">
        <f t="shared" si="89"/>
        <v>4</v>
      </c>
      <c r="O46" s="947">
        <f t="shared" si="89"/>
        <v>4</v>
      </c>
      <c r="P46" s="947">
        <f t="shared" ref="P46" si="90">SUM(P47:P50)</f>
        <v>4</v>
      </c>
      <c r="Q46" s="947">
        <f t="shared" si="89"/>
        <v>4</v>
      </c>
      <c r="S46" s="975">
        <f t="shared" si="65"/>
        <v>4</v>
      </c>
      <c r="T46" s="222">
        <f>T48+T49+T50</f>
        <v>0</v>
      </c>
      <c r="U46" s="230"/>
      <c r="V46" s="230"/>
      <c r="W46" s="1113">
        <f>'Manuell filtrering og justering'!E18</f>
        <v>0</v>
      </c>
      <c r="X46" s="977"/>
      <c r="Y46" s="1195">
        <f t="shared" ref="Y46" si="91">SUM(Y47:Y50)</f>
        <v>4</v>
      </c>
      <c r="Z46" s="977">
        <f t="shared" si="67"/>
        <v>0</v>
      </c>
      <c r="AA46" s="1081">
        <f>SUM(AA47:AA50)</f>
        <v>4</v>
      </c>
      <c r="AC46" s="171">
        <f t="shared" si="68"/>
        <v>3.3684210526315789E-2</v>
      </c>
      <c r="AD46" s="935">
        <f>SUM(AD47:AD50)</f>
        <v>0</v>
      </c>
      <c r="AE46" s="935">
        <f t="shared" ref="AE46:AF46" si="92">SUM(AE47:AE50)</f>
        <v>0</v>
      </c>
      <c r="AF46" s="935">
        <f t="shared" si="92"/>
        <v>0</v>
      </c>
      <c r="AH46" s="972">
        <f t="shared" ref="AH46:AJ46" si="93">SUM(AH47:AH50)</f>
        <v>0</v>
      </c>
      <c r="AI46" s="972">
        <f t="shared" si="93"/>
        <v>0</v>
      </c>
      <c r="AJ46" s="972">
        <f t="shared" si="93"/>
        <v>0</v>
      </c>
      <c r="AK46" s="96" t="s">
        <v>428</v>
      </c>
      <c r="AL46" s="291"/>
      <c r="AM46" s="181"/>
      <c r="AN46" s="304"/>
      <c r="AO46" s="293"/>
      <c r="AP46" s="294"/>
      <c r="AR46" s="292"/>
      <c r="AS46" s="293"/>
      <c r="AT46" s="293"/>
      <c r="AU46" s="293"/>
      <c r="AV46" s="294"/>
      <c r="AX46" s="182"/>
      <c r="AY46" s="183"/>
      <c r="AZ46" s="183"/>
      <c r="BA46" s="183"/>
      <c r="BB46" s="176"/>
      <c r="BC46" s="695">
        <f>IF(BB46=0,9,IF((AH46-CF46)&gt;=BB46,5,IF((AH46-CF46)&gt;=BA46,4,IF((AH46-CF46)&gt;=AZ46,3,IF((AH46-CF46)&gt;=AY46,2,IF((AH46-CF46)&lt;AX46,0,1))))))</f>
        <v>9</v>
      </c>
      <c r="BD46" s="164" t="str">
        <f t="shared" si="70"/>
        <v>N/A</v>
      </c>
      <c r="BE46" s="185"/>
      <c r="BF46" s="182">
        <f>IF(BB46=0,9,IF((AI46-CF46)&gt;=BB46,5,IF((AI46-CF46)&gt;=BA46,4,IF((AI46-CF46)&gt;=AZ46,3,IF((AI46-CF46)&gt;=AY46,2,IF((AI46-CF46)&lt;AX46,0,1))))))</f>
        <v>9</v>
      </c>
      <c r="BG46" s="164" t="str">
        <f t="shared" si="72"/>
        <v>N/A</v>
      </c>
      <c r="BH46" s="185"/>
      <c r="BI46" s="182">
        <f>IF(BB46=0,9,IF((AJ46-CF46)&gt;=BB46,5,IF((AJ46-CF46)&gt;=BA46,4,IF((AJ46-CF46)&gt;=AZ46,3,IF((AJ46-CF46)&gt;=AY46,2,IF((AJ46-CF46)&lt;AX46,0,1))))))</f>
        <v>9</v>
      </c>
      <c r="BJ46" s="164" t="str">
        <f t="shared" si="73"/>
        <v>N/A</v>
      </c>
      <c r="BK46" s="185"/>
      <c r="BL46" s="96" t="s">
        <v>461</v>
      </c>
      <c r="BN46" s="167"/>
      <c r="BO46" s="167"/>
      <c r="BP46" s="167" t="str">
        <f t="shared" si="15"/>
        <v/>
      </c>
      <c r="BQ46" s="167">
        <f t="shared" si="54"/>
        <v>9</v>
      </c>
      <c r="BR46" s="167">
        <f t="shared" si="55"/>
        <v>9</v>
      </c>
      <c r="BS46" s="167">
        <f t="shared" si="56"/>
        <v>9</v>
      </c>
      <c r="BV46" s="167" t="str">
        <f>C46</f>
        <v>Hea 02</v>
      </c>
      <c r="BW46" s="167" t="str">
        <f>IFERROR(VLOOKUP($D46,'Pre-Assessment Estimator'!$E$11:$AB$224,'Pre-Assessment Estimator'!AB$2,FALSE),"")</f>
        <v>O2: VOC (AC 8-9: -1,0 c)</v>
      </c>
      <c r="BX46" s="230" t="str">
        <f>IFERROR(VLOOKUP($D46,'Pre-Assessment Estimator'!$E$11:$AI$224,'Pre-Assessment Estimator'!AI$2,FALSE),"")</f>
        <v>Ja</v>
      </c>
      <c r="BY46" s="167">
        <f>IFERROR(VLOOKUP($BW46,$D$291:$G$324,E$289,FALSE),"")</f>
        <v>-1</v>
      </c>
      <c r="BZ46" s="680" t="s">
        <v>431</v>
      </c>
      <c r="CA46" s="167">
        <f>G301</f>
        <v>5</v>
      </c>
      <c r="CB46" s="96" t="s">
        <v>432</v>
      </c>
      <c r="CC46" s="96" t="s">
        <v>439</v>
      </c>
      <c r="CD46" s="167">
        <f t="shared" si="74"/>
        <v>0</v>
      </c>
      <c r="CF46" s="689">
        <f>IF($BW$5=ais_no,CD46,IF(AND(BZ46=$BZ$4,BW46=$CB$4),0,BY46))</f>
        <v>0</v>
      </c>
      <c r="CH46" s="96" t="s">
        <v>406</v>
      </c>
    </row>
    <row r="47" spans="1:86" x14ac:dyDescent="0.25">
      <c r="A47" s="96">
        <v>39</v>
      </c>
      <c r="C47" s="163" t="s">
        <v>696</v>
      </c>
      <c r="D47" s="954" t="s">
        <v>611</v>
      </c>
      <c r="E47" s="780"/>
      <c r="F47" s="780"/>
      <c r="G47" s="780"/>
      <c r="H47" s="780"/>
      <c r="I47" s="780"/>
      <c r="J47" s="780"/>
      <c r="K47" s="780"/>
      <c r="L47" s="780"/>
      <c r="M47" s="780"/>
      <c r="N47" s="780"/>
      <c r="O47" s="780"/>
      <c r="P47" s="780"/>
      <c r="Q47" s="780"/>
      <c r="S47" s="212">
        <f t="shared" si="65"/>
        <v>0</v>
      </c>
      <c r="T47" s="166"/>
      <c r="U47" s="167"/>
      <c r="V47" s="167"/>
      <c r="W47" s="168"/>
      <c r="X47" s="169"/>
      <c r="Y47" s="1175"/>
      <c r="Z47" s="169">
        <f t="shared" si="67"/>
        <v>0</v>
      </c>
      <c r="AA47" s="170">
        <f>IF($AB$5='Manuell filtrering og justering'!$J$2,Y47,(S47-Z47))</f>
        <v>0</v>
      </c>
      <c r="AC47" s="171">
        <f t="shared" si="68"/>
        <v>0</v>
      </c>
      <c r="AD47" s="171">
        <f t="shared" si="86"/>
        <v>0</v>
      </c>
      <c r="AE47" s="171">
        <f t="shared" si="87"/>
        <v>0</v>
      </c>
      <c r="AF47" s="171">
        <f t="shared" si="88"/>
        <v>0</v>
      </c>
      <c r="AH47" s="172">
        <f>IF(VLOOKUP(D47,'Pre-Assessment Estimator'!$E$11:$Z$224,'Pre-Assessment Estimator'!$G$2,FALSE)&gt;AA47,AA47,VLOOKUP(D47,'Pre-Assessment Estimator'!$E$11:$Z$224,'Pre-Assessment Estimator'!$G$2,FALSE))</f>
        <v>0</v>
      </c>
      <c r="AI47" s="172">
        <f>IF(VLOOKUP(D47,'Pre-Assessment Estimator'!$E$11:$Z$224,'Pre-Assessment Estimator'!$N$2,FALSE)&gt;AA47,AA47,VLOOKUP(D47,'Pre-Assessment Estimator'!$E$11:$Z$224,'Pre-Assessment Estimator'!$N$2,FALSE))</f>
        <v>0</v>
      </c>
      <c r="AJ47" s="172">
        <f>IF(VLOOKUP(D47,'Pre-Assessment Estimator'!$E$11:$Z$224,'Pre-Assessment Estimator'!$U$2,FALSE)&gt;AA47,AA47,VLOOKUP(D47,'Pre-Assessment Estimator'!$E$11:$Z$224,'Pre-Assessment Estimator'!$U$2,FALSE))</f>
        <v>0</v>
      </c>
      <c r="AL47" s="291"/>
      <c r="AM47" s="181"/>
      <c r="AN47" s="304"/>
      <c r="AO47" s="293"/>
      <c r="AP47" s="294"/>
      <c r="AR47" s="292"/>
      <c r="AS47" s="293"/>
      <c r="AT47" s="293"/>
      <c r="AU47" s="293"/>
      <c r="AV47" s="294"/>
      <c r="AX47" s="182"/>
      <c r="AY47" s="183"/>
      <c r="AZ47" s="183"/>
      <c r="BA47" s="183"/>
      <c r="BB47" s="176"/>
      <c r="BC47" s="695">
        <f t="shared" ref="BC47:BC64" si="94">IF(BB47=0,9,IF((AH47-CF47)&gt;=BB47,5,IF((AH47-CF47)&gt;=BA47,4,IF((AH47-CF47)&gt;=AZ47,3,IF((AH47-CF47)&gt;=AY47,2,IF((AH47-CF47)&lt;AX47,0,1))))))</f>
        <v>9</v>
      </c>
      <c r="BD47" s="164" t="str">
        <f t="shared" si="70"/>
        <v>N/A</v>
      </c>
      <c r="BE47" s="185"/>
      <c r="BF47" s="182">
        <f t="shared" ref="BF47:BF64" si="95">IF(BB47=0,9,IF((AI47-CF47)&gt;=BB47,5,IF((AI47-CF47)&gt;=BA47,4,IF((AI47-CF47)&gt;=AZ47,3,IF((AI47-CF47)&gt;=AY47,2,IF((AI47-CF47)&lt;AX47,0,1))))))</f>
        <v>9</v>
      </c>
      <c r="BG47" s="164" t="str">
        <f t="shared" si="72"/>
        <v>N/A</v>
      </c>
      <c r="BH47" s="185"/>
      <c r="BI47" s="182">
        <f t="shared" ref="BI47:BI64" si="96">IF(BB47=0,9,IF((AJ47-CF47)&gt;=BB47,5,IF((AJ47-CF47)&gt;=BA47,4,IF((AJ47-CF47)&gt;=AZ47,3,IF((AJ47-CF47)&gt;=AY47,2,IF((AJ47-CF47)&lt;AX47,0,1))))))</f>
        <v>9</v>
      </c>
      <c r="BJ47" s="164" t="str">
        <f t="shared" si="73"/>
        <v>N/A</v>
      </c>
      <c r="BK47" s="185"/>
      <c r="BN47" s="167"/>
      <c r="BO47" s="167"/>
      <c r="BP47" s="167" t="str">
        <f t="shared" si="15"/>
        <v/>
      </c>
      <c r="BQ47" s="167">
        <f t="shared" si="54"/>
        <v>9</v>
      </c>
      <c r="BR47" s="167">
        <f t="shared" si="55"/>
        <v>9</v>
      </c>
      <c r="BS47" s="167">
        <f t="shared" si="56"/>
        <v>9</v>
      </c>
      <c r="BV47" s="167"/>
      <c r="BW47" s="167"/>
      <c r="BX47" s="230"/>
      <c r="BY47" s="167"/>
      <c r="BZ47" s="852"/>
      <c r="CA47" s="167"/>
      <c r="CD47" s="167"/>
      <c r="CF47" s="689"/>
    </row>
    <row r="48" spans="1:86" x14ac:dyDescent="0.25">
      <c r="A48" s="96">
        <v>40</v>
      </c>
      <c r="B48" s="96" t="str">
        <f t="shared" ref="B48:B50" si="97">$C$46&amp;C48</f>
        <v>Hea 02b</v>
      </c>
      <c r="C48" s="163" t="s">
        <v>699</v>
      </c>
      <c r="D48" s="1122" t="s">
        <v>612</v>
      </c>
      <c r="E48" s="788">
        <v>1</v>
      </c>
      <c r="F48" s="788">
        <v>1</v>
      </c>
      <c r="G48" s="788">
        <v>1</v>
      </c>
      <c r="H48" s="788">
        <v>1</v>
      </c>
      <c r="I48" s="788">
        <v>1</v>
      </c>
      <c r="J48" s="788">
        <v>1</v>
      </c>
      <c r="K48" s="788">
        <v>1</v>
      </c>
      <c r="L48" s="788">
        <v>1</v>
      </c>
      <c r="M48" s="788">
        <v>1</v>
      </c>
      <c r="N48" s="788">
        <v>1</v>
      </c>
      <c r="O48" s="788">
        <v>1</v>
      </c>
      <c r="P48" s="788">
        <v>1</v>
      </c>
      <c r="Q48" s="788">
        <v>1</v>
      </c>
      <c r="S48" s="212">
        <f t="shared" si="65"/>
        <v>1</v>
      </c>
      <c r="T48" s="222">
        <f>IF(AND(ADBT0=ADBT1,ADIND_option03=AD_no),Poeng!S48,0)</f>
        <v>0</v>
      </c>
      <c r="U48" s="167"/>
      <c r="V48" s="167"/>
      <c r="W48" s="168"/>
      <c r="X48" s="169"/>
      <c r="Y48" s="1175">
        <f>VLOOKUP(B48,'Manuell filtrering og justering'!$A$7:$H$107,'Manuell filtrering og justering'!$H$1,FALSE)</f>
        <v>1</v>
      </c>
      <c r="Z48" s="169">
        <f t="shared" si="67"/>
        <v>0</v>
      </c>
      <c r="AA48" s="170">
        <f>IF($AB$5='Manuell filtrering og justering'!$J$2,Y48,(S48-Z48))</f>
        <v>1</v>
      </c>
      <c r="AC48" s="171">
        <f t="shared" si="68"/>
        <v>8.4210526315789472E-3</v>
      </c>
      <c r="AD48" s="171">
        <f t="shared" si="86"/>
        <v>0</v>
      </c>
      <c r="AE48" s="171">
        <f t="shared" si="87"/>
        <v>0</v>
      </c>
      <c r="AF48" s="171">
        <f t="shared" si="88"/>
        <v>0</v>
      </c>
      <c r="AH48" s="1082">
        <f>IF(AH235=AD_no,0,IF(VLOOKUP(D48,'Pre-Assessment Estimator'!$E$11:$Z$224,'Pre-Assessment Estimator'!$G$2,FALSE)&gt;AA48,AA48,VLOOKUP(D48,'Pre-Assessment Estimator'!$E$11:$Z$224,'Pre-Assessment Estimator'!$G$2,FALSE)))</f>
        <v>0</v>
      </c>
      <c r="AI48" s="1082">
        <f>IF(AI235=AD_no,0,IF(VLOOKUP(D48,'Pre-Assessment Estimator'!$E$11:$Z$224,'Pre-Assessment Estimator'!$N$2,FALSE)&gt;AA48,AA48,VLOOKUP(D48,'Pre-Assessment Estimator'!$E$11:$Z$224,'Pre-Assessment Estimator'!$N$2,FALSE)))</f>
        <v>0</v>
      </c>
      <c r="AJ48" s="1082">
        <f>IF(AJ235=AD_no,0,IF(VLOOKUP(D48,'Pre-Assessment Estimator'!$E$11:$Z$224,'Pre-Assessment Estimator'!$U$2,FALSE)&gt;AA48,AA48,VLOOKUP(D48,'Pre-Assessment Estimator'!$E$11:$Z$224,'Pre-Assessment Estimator'!$U$2,FALSE)))</f>
        <v>0</v>
      </c>
      <c r="AL48" s="291"/>
      <c r="AM48" s="181"/>
      <c r="AN48" s="304"/>
      <c r="AO48" s="293"/>
      <c r="AP48" s="294"/>
      <c r="AR48" s="292"/>
      <c r="AS48" s="293"/>
      <c r="AT48" s="293"/>
      <c r="AU48" s="293"/>
      <c r="AV48" s="294"/>
      <c r="AX48" s="182"/>
      <c r="AY48" s="183"/>
      <c r="AZ48" s="183"/>
      <c r="BA48" s="183"/>
      <c r="BB48" s="176"/>
      <c r="BC48" s="695">
        <f t="shared" si="94"/>
        <v>9</v>
      </c>
      <c r="BD48" s="164" t="str">
        <f t="shared" si="70"/>
        <v>N/A</v>
      </c>
      <c r="BE48" s="185"/>
      <c r="BF48" s="182">
        <f t="shared" si="95"/>
        <v>9</v>
      </c>
      <c r="BG48" s="164" t="str">
        <f t="shared" si="72"/>
        <v>N/A</v>
      </c>
      <c r="BH48" s="185"/>
      <c r="BI48" s="182">
        <f t="shared" si="96"/>
        <v>9</v>
      </c>
      <c r="BJ48" s="164" t="str">
        <f t="shared" si="73"/>
        <v>N/A</v>
      </c>
      <c r="BK48" s="185"/>
      <c r="BN48" s="167"/>
      <c r="BO48" s="167"/>
      <c r="BP48" s="167" t="str">
        <f t="shared" si="15"/>
        <v/>
      </c>
      <c r="BQ48" s="167">
        <f t="shared" si="54"/>
        <v>9</v>
      </c>
      <c r="BR48" s="167">
        <f t="shared" si="55"/>
        <v>9</v>
      </c>
      <c r="BS48" s="167">
        <f t="shared" si="56"/>
        <v>9</v>
      </c>
      <c r="BV48" s="167"/>
      <c r="BW48" s="167"/>
      <c r="BX48" s="230"/>
      <c r="BY48" s="167"/>
      <c r="BZ48" s="852"/>
      <c r="CA48" s="167"/>
      <c r="CD48" s="167"/>
      <c r="CF48" s="689"/>
    </row>
    <row r="49" spans="1:84" x14ac:dyDescent="0.25">
      <c r="A49" s="96">
        <v>41</v>
      </c>
      <c r="B49" s="96" t="str">
        <f t="shared" si="97"/>
        <v>Hea 02c</v>
      </c>
      <c r="C49" s="166" t="s">
        <v>700</v>
      </c>
      <c r="D49" s="1122" t="s">
        <v>613</v>
      </c>
      <c r="E49" s="788">
        <v>2</v>
      </c>
      <c r="F49" s="788">
        <v>2</v>
      </c>
      <c r="G49" s="788">
        <v>2</v>
      </c>
      <c r="H49" s="788">
        <v>2</v>
      </c>
      <c r="I49" s="788">
        <v>2</v>
      </c>
      <c r="J49" s="788">
        <v>2</v>
      </c>
      <c r="K49" s="788">
        <v>2</v>
      </c>
      <c r="L49" s="788">
        <v>2</v>
      </c>
      <c r="M49" s="788">
        <v>2</v>
      </c>
      <c r="N49" s="788">
        <v>2</v>
      </c>
      <c r="O49" s="788">
        <v>2</v>
      </c>
      <c r="P49" s="788">
        <v>2</v>
      </c>
      <c r="Q49" s="788">
        <v>2</v>
      </c>
      <c r="S49" s="212">
        <f t="shared" si="65"/>
        <v>2</v>
      </c>
      <c r="T49" s="222">
        <f>IF(AND(ADBT0=ADBT1,ADIND_option03=AD_no),Poeng!S49,0)</f>
        <v>0</v>
      </c>
      <c r="U49" s="167"/>
      <c r="V49" s="167"/>
      <c r="W49" s="168"/>
      <c r="X49" s="169">
        <f>IF($X$4=$X$6,1,0)</f>
        <v>0</v>
      </c>
      <c r="Y49" s="1175">
        <f>VLOOKUP(B49,'Manuell filtrering og justering'!$A$7:$H$107,'Manuell filtrering og justering'!$H$1,FALSE)</f>
        <v>2</v>
      </c>
      <c r="Z49" s="169">
        <f t="shared" si="67"/>
        <v>0</v>
      </c>
      <c r="AA49" s="170">
        <f>IF($AB$5='Manuell filtrering og justering'!$J$2,Y49,(S49-Z49))</f>
        <v>2</v>
      </c>
      <c r="AC49" s="171">
        <f t="shared" si="68"/>
        <v>1.6842105263157894E-2</v>
      </c>
      <c r="AD49" s="171">
        <f t="shared" si="86"/>
        <v>0</v>
      </c>
      <c r="AE49" s="171">
        <f t="shared" si="87"/>
        <v>0</v>
      </c>
      <c r="AF49" s="171">
        <f t="shared" si="88"/>
        <v>0</v>
      </c>
      <c r="AH49" s="1082">
        <f>IF(AH235=AD_no,0,IF(VLOOKUP(D49,'Pre-Assessment Estimator'!$E$11:$Z$224,'Pre-Assessment Estimator'!$G$2,FALSE)&gt;AA49,AA49,VLOOKUP(D49,'Pre-Assessment Estimator'!$E$11:$Z$224,'Pre-Assessment Estimator'!$G$2,FALSE)))</f>
        <v>0</v>
      </c>
      <c r="AI49" s="1082">
        <f>IF(AI235=AD_no,0,IF(VLOOKUP(D49,'Pre-Assessment Estimator'!$E$11:$Z$224,'Pre-Assessment Estimator'!$N$2,FALSE)&gt;AA49,AA49,VLOOKUP(D49,'Pre-Assessment Estimator'!$E$11:$Z$224,'Pre-Assessment Estimator'!$N$2,FALSE)))</f>
        <v>0</v>
      </c>
      <c r="AJ49" s="1082">
        <f>IF(AJ235=AD_no,0,IF(VLOOKUP(D49,'Pre-Assessment Estimator'!$E$11:$Z$224,'Pre-Assessment Estimator'!$U$2,FALSE)&gt;AA49,AA49,VLOOKUP(D49,'Pre-Assessment Estimator'!$E$11:$Z$224,'Pre-Assessment Estimator'!$U$2,FALSE)))</f>
        <v>0</v>
      </c>
      <c r="AL49" s="291"/>
      <c r="AM49" s="181"/>
      <c r="AN49" s="304"/>
      <c r="AO49" s="1207">
        <f>IF(AND(X4=X3,AA49=0),0,IF(AND($X$4&lt;&gt;$X$3,X49&gt;0),0,1))</f>
        <v>1</v>
      </c>
      <c r="AP49" s="1209">
        <f>IF(AND(X4=X3,AA49=0),0,IF(AND($X$4&lt;&gt;$X$3,X49&gt;0),0,2))</f>
        <v>2</v>
      </c>
      <c r="AQ49" s="137"/>
      <c r="AR49" s="990"/>
      <c r="AS49" s="988"/>
      <c r="AT49" s="988"/>
      <c r="AU49" s="988">
        <v>1</v>
      </c>
      <c r="AV49" s="989">
        <v>2</v>
      </c>
      <c r="AX49" s="182"/>
      <c r="AY49" s="183"/>
      <c r="AZ49" s="183"/>
      <c r="BA49" s="183">
        <f>IF($D$6=$G$9,AU49,AO49)</f>
        <v>1</v>
      </c>
      <c r="BB49" s="176">
        <f>IF($D$6=$G$9,AV49,AP49)</f>
        <v>2</v>
      </c>
      <c r="BC49" s="695">
        <f t="shared" si="94"/>
        <v>3</v>
      </c>
      <c r="BD49" s="164" t="str">
        <f t="shared" si="70"/>
        <v>Very Good</v>
      </c>
      <c r="BE49" s="185"/>
      <c r="BF49" s="182">
        <f t="shared" si="95"/>
        <v>3</v>
      </c>
      <c r="BG49" s="164" t="str">
        <f t="shared" si="72"/>
        <v>Very Good</v>
      </c>
      <c r="BH49" s="185"/>
      <c r="BI49" s="182">
        <f t="shared" si="96"/>
        <v>3</v>
      </c>
      <c r="BJ49" s="164" t="str">
        <f t="shared" si="73"/>
        <v>Very Good</v>
      </c>
      <c r="BK49" s="185"/>
      <c r="BN49" s="167"/>
      <c r="BO49" s="167">
        <v>2</v>
      </c>
      <c r="BP49" s="167">
        <f t="shared" si="15"/>
        <v>2</v>
      </c>
      <c r="BQ49" s="167">
        <f t="shared" si="54"/>
        <v>0</v>
      </c>
      <c r="BR49" s="167">
        <f t="shared" si="55"/>
        <v>0</v>
      </c>
      <c r="BS49" s="167">
        <f t="shared" si="56"/>
        <v>0</v>
      </c>
      <c r="BV49" s="167"/>
      <c r="BW49" s="167"/>
      <c r="BX49" s="230"/>
      <c r="BY49" s="167"/>
      <c r="BZ49" s="852"/>
      <c r="CA49" s="167"/>
      <c r="CD49" s="167"/>
      <c r="CF49" s="689"/>
    </row>
    <row r="50" spans="1:84" x14ac:dyDescent="0.25">
      <c r="A50" s="96">
        <v>42</v>
      </c>
      <c r="B50" s="96" t="str">
        <f t="shared" si="97"/>
        <v>Hea 02d</v>
      </c>
      <c r="C50" s="166" t="s">
        <v>698</v>
      </c>
      <c r="D50" s="1122" t="s">
        <v>614</v>
      </c>
      <c r="E50" s="788">
        <v>1</v>
      </c>
      <c r="F50" s="788">
        <v>1</v>
      </c>
      <c r="G50" s="788">
        <v>1</v>
      </c>
      <c r="H50" s="788">
        <v>1</v>
      </c>
      <c r="I50" s="788">
        <v>1</v>
      </c>
      <c r="J50" s="788">
        <v>1</v>
      </c>
      <c r="K50" s="788">
        <v>1</v>
      </c>
      <c r="L50" s="788">
        <v>1</v>
      </c>
      <c r="M50" s="788">
        <v>1</v>
      </c>
      <c r="N50" s="788">
        <v>1</v>
      </c>
      <c r="O50" s="788">
        <v>1</v>
      </c>
      <c r="P50" s="788">
        <v>1</v>
      </c>
      <c r="Q50" s="788">
        <v>1</v>
      </c>
      <c r="S50" s="212">
        <f t="shared" si="65"/>
        <v>1</v>
      </c>
      <c r="T50" s="222">
        <f>IF(AND(ADBT0=ADBT1,ADIND_option03=AD_no),Poeng!S50,0)</f>
        <v>0</v>
      </c>
      <c r="U50" s="167"/>
      <c r="V50" s="167"/>
      <c r="W50" s="168"/>
      <c r="X50" s="169">
        <f>IF(OR($X$4=$X$5,$X$4=$X$6),S50,0)</f>
        <v>0</v>
      </c>
      <c r="Y50" s="1175">
        <f>VLOOKUP(B50,'Manuell filtrering og justering'!$A$7:$H$107,'Manuell filtrering og justering'!$H$1,FALSE)</f>
        <v>1</v>
      </c>
      <c r="Z50" s="169">
        <f t="shared" si="67"/>
        <v>0</v>
      </c>
      <c r="AA50" s="170">
        <f>IF($AB$5='Manuell filtrering og justering'!$J$2,Y50,(S50-Z50))</f>
        <v>1</v>
      </c>
      <c r="AC50" s="171">
        <f t="shared" si="68"/>
        <v>8.4210526315789472E-3</v>
      </c>
      <c r="AD50" s="171">
        <f t="shared" si="86"/>
        <v>0</v>
      </c>
      <c r="AE50" s="171">
        <f t="shared" si="87"/>
        <v>0</v>
      </c>
      <c r="AF50" s="171">
        <f t="shared" si="88"/>
        <v>0</v>
      </c>
      <c r="AH50" s="1082">
        <f>IF(AH235=AD_no,0,IF(VLOOKUP(D50,'Pre-Assessment Estimator'!$E$11:$Z$224,'Pre-Assessment Estimator'!$G$2,FALSE)&gt;AA50,AA50,VLOOKUP(D50,'Pre-Assessment Estimator'!$E$11:$Z$224,'Pre-Assessment Estimator'!$G$2,FALSE)))</f>
        <v>0</v>
      </c>
      <c r="AI50" s="1082">
        <f>IF(AI235=AD_no,0,IF(VLOOKUP(D50,'Pre-Assessment Estimator'!$E$11:$Z$224,'Pre-Assessment Estimator'!$N$2,FALSE)&gt;AA50,AA50,VLOOKUP(D50,'Pre-Assessment Estimator'!$E$11:$Z$224,'Pre-Assessment Estimator'!$N$2,FALSE)))</f>
        <v>0</v>
      </c>
      <c r="AJ50" s="1082">
        <f>IF(AJ235=AD_no,0,IF(VLOOKUP(D50,'Pre-Assessment Estimator'!$E$11:$Z$224,'Pre-Assessment Estimator'!$U$2,FALSE)&gt;AA50,AA50,VLOOKUP(D50,'Pre-Assessment Estimator'!$E$11:$Z$224,'Pre-Assessment Estimator'!$U$2,FALSE)))</f>
        <v>0</v>
      </c>
      <c r="AL50" s="291"/>
      <c r="AM50" s="181"/>
      <c r="AN50" s="304"/>
      <c r="AO50" s="293"/>
      <c r="AP50" s="294"/>
      <c r="AR50" s="292"/>
      <c r="AS50" s="293"/>
      <c r="AT50" s="293"/>
      <c r="AU50" s="293"/>
      <c r="AV50" s="294"/>
      <c r="AX50" s="182"/>
      <c r="AY50" s="183"/>
      <c r="AZ50" s="183"/>
      <c r="BA50" s="183"/>
      <c r="BB50" s="176"/>
      <c r="BC50" s="695">
        <f t="shared" si="94"/>
        <v>9</v>
      </c>
      <c r="BD50" s="164" t="str">
        <f t="shared" si="70"/>
        <v>N/A</v>
      </c>
      <c r="BE50" s="185"/>
      <c r="BF50" s="182">
        <f t="shared" si="95"/>
        <v>9</v>
      </c>
      <c r="BG50" s="164" t="str">
        <f t="shared" si="72"/>
        <v>N/A</v>
      </c>
      <c r="BH50" s="185"/>
      <c r="BI50" s="182">
        <f t="shared" si="96"/>
        <v>9</v>
      </c>
      <c r="BJ50" s="164" t="str">
        <f t="shared" si="73"/>
        <v>N/A</v>
      </c>
      <c r="BK50" s="185"/>
      <c r="BN50" s="167"/>
      <c r="BO50" s="167"/>
      <c r="BP50" s="167" t="str">
        <f t="shared" si="15"/>
        <v/>
      </c>
      <c r="BQ50" s="167">
        <f t="shared" si="54"/>
        <v>9</v>
      </c>
      <c r="BR50" s="167">
        <f t="shared" si="55"/>
        <v>9</v>
      </c>
      <c r="BS50" s="167">
        <f t="shared" si="56"/>
        <v>9</v>
      </c>
      <c r="BV50" s="167"/>
      <c r="BW50" s="167"/>
      <c r="BX50" s="230"/>
      <c r="BY50" s="167"/>
      <c r="BZ50" s="852"/>
      <c r="CA50" s="167"/>
      <c r="CD50" s="167"/>
      <c r="CF50" s="689"/>
    </row>
    <row r="51" spans="1:84" x14ac:dyDescent="0.25">
      <c r="A51" s="96">
        <v>43</v>
      </c>
      <c r="B51" s="137" t="str">
        <f>C51</f>
        <v>Hea 03</v>
      </c>
      <c r="C51" s="847" t="s">
        <v>121</v>
      </c>
      <c r="D51" s="845" t="s">
        <v>115</v>
      </c>
      <c r="E51" s="947">
        <f t="shared" ref="E51:Q51" si="98">SUM(E52:E54)</f>
        <v>3</v>
      </c>
      <c r="F51" s="947">
        <f t="shared" si="98"/>
        <v>3</v>
      </c>
      <c r="G51" s="947">
        <f t="shared" si="98"/>
        <v>3</v>
      </c>
      <c r="H51" s="947">
        <f t="shared" si="98"/>
        <v>3</v>
      </c>
      <c r="I51" s="947">
        <f t="shared" si="98"/>
        <v>3</v>
      </c>
      <c r="J51" s="947">
        <f t="shared" si="98"/>
        <v>3</v>
      </c>
      <c r="K51" s="947">
        <f t="shared" si="98"/>
        <v>3</v>
      </c>
      <c r="L51" s="947">
        <f t="shared" si="98"/>
        <v>3</v>
      </c>
      <c r="M51" s="947">
        <f t="shared" si="98"/>
        <v>3</v>
      </c>
      <c r="N51" s="947">
        <f t="shared" si="98"/>
        <v>3</v>
      </c>
      <c r="O51" s="947">
        <f t="shared" si="98"/>
        <v>3</v>
      </c>
      <c r="P51" s="947">
        <f t="shared" ref="P51" si="99">SUM(P52:P54)</f>
        <v>3</v>
      </c>
      <c r="Q51" s="947">
        <f t="shared" si="98"/>
        <v>3</v>
      </c>
      <c r="S51" s="975">
        <f t="shared" si="65"/>
        <v>3</v>
      </c>
      <c r="T51" s="222">
        <f>T52+T53+T54</f>
        <v>0</v>
      </c>
      <c r="U51" s="230"/>
      <c r="V51" s="230"/>
      <c r="W51" s="1113">
        <f>'Manuell filtrering og justering'!E19</f>
        <v>0</v>
      </c>
      <c r="X51" s="977"/>
      <c r="Y51" s="1195">
        <f t="shared" ref="Y51" si="100">SUM(Y52:Y54)</f>
        <v>3</v>
      </c>
      <c r="Z51" s="977">
        <f t="shared" si="67"/>
        <v>0</v>
      </c>
      <c r="AA51" s="1081">
        <f>SUM(AA52:AA54)</f>
        <v>3</v>
      </c>
      <c r="AC51" s="171">
        <f t="shared" si="68"/>
        <v>2.5263157894736842E-2</v>
      </c>
      <c r="AD51" s="935">
        <f>SUM(AD52:AD54)</f>
        <v>0</v>
      </c>
      <c r="AE51" s="935">
        <f t="shared" ref="AE51:AF51" si="101">SUM(AE52:AE54)</f>
        <v>0</v>
      </c>
      <c r="AF51" s="935">
        <f t="shared" si="101"/>
        <v>0</v>
      </c>
      <c r="AH51" s="972">
        <f t="shared" ref="AH51:AJ51" si="102">SUM(AH52:AH54)</f>
        <v>0</v>
      </c>
      <c r="AI51" s="972">
        <f t="shared" si="102"/>
        <v>0</v>
      </c>
      <c r="AJ51" s="972">
        <f t="shared" si="102"/>
        <v>0</v>
      </c>
      <c r="AK51" s="96" t="s">
        <v>428</v>
      </c>
      <c r="AL51" s="292"/>
      <c r="AM51" s="293"/>
      <c r="AN51" s="293"/>
      <c r="AO51" s="293"/>
      <c r="AP51" s="294"/>
      <c r="AR51" s="292"/>
      <c r="AS51" s="293"/>
      <c r="AT51" s="293"/>
      <c r="AU51" s="293"/>
      <c r="AV51" s="294"/>
      <c r="AX51" s="188"/>
      <c r="AY51" s="189"/>
      <c r="AZ51" s="189"/>
      <c r="BA51" s="189"/>
      <c r="BB51" s="190"/>
      <c r="BC51" s="695">
        <f t="shared" si="94"/>
        <v>9</v>
      </c>
      <c r="BD51" s="164" t="str">
        <f t="shared" si="70"/>
        <v>N/A</v>
      </c>
      <c r="BE51" s="185"/>
      <c r="BF51" s="182">
        <f t="shared" si="95"/>
        <v>9</v>
      </c>
      <c r="BG51" s="164" t="str">
        <f t="shared" si="72"/>
        <v>N/A</v>
      </c>
      <c r="BH51" s="185"/>
      <c r="BI51" s="182">
        <f t="shared" si="96"/>
        <v>9</v>
      </c>
      <c r="BJ51" s="164" t="str">
        <f t="shared" si="73"/>
        <v>N/A</v>
      </c>
      <c r="BK51" s="185"/>
      <c r="BN51" s="167"/>
      <c r="BO51" s="167"/>
      <c r="BP51" s="167" t="str">
        <f t="shared" si="15"/>
        <v/>
      </c>
      <c r="BQ51" s="167">
        <f t="shared" si="54"/>
        <v>9</v>
      </c>
      <c r="BR51" s="167">
        <f t="shared" si="55"/>
        <v>9</v>
      </c>
      <c r="BS51" s="167">
        <f t="shared" si="56"/>
        <v>9</v>
      </c>
      <c r="BV51" s="167" t="str">
        <f>C51</f>
        <v>Hea 03</v>
      </c>
      <c r="BW51" s="167" t="str">
        <f>IFERROR(VLOOKUP($D51,'Pre-Assessment Estimator'!$E$11:$AB$224,'Pre-Assessment Estimator'!AB$2,FALSE),"")</f>
        <v>No</v>
      </c>
      <c r="BX51" s="230" t="str">
        <f>IFERROR(VLOOKUP($D51,'Pre-Assessment Estimator'!$E$11:$AI$224,'Pre-Assessment Estimator'!AI$2,FALSE),"")</f>
        <v>Ja</v>
      </c>
      <c r="BY51" s="167">
        <f>IFERROR(VLOOKUP($BW51,$D$291:$G$324,E$289,FALSE),"")</f>
        <v>1</v>
      </c>
      <c r="BZ51" s="688" t="s">
        <v>433</v>
      </c>
      <c r="CA51" s="167"/>
      <c r="CB51" s="96" t="str">
        <f>IFERROR(VLOOKUP($BW51,$D$291:$G$324,H$289,FALSE),"")</f>
        <v/>
      </c>
      <c r="CC51" s="96" t="s">
        <v>439</v>
      </c>
      <c r="CD51" s="167">
        <f t="shared" si="74"/>
        <v>1</v>
      </c>
      <c r="CF51" s="689">
        <f>IF($BW$5=ais_no,CD51,IF(AND(BZ51=$BZ$4,BW51=$CB$4),0,BY51))</f>
        <v>1</v>
      </c>
    </row>
    <row r="52" spans="1:84" x14ac:dyDescent="0.25">
      <c r="A52" s="96">
        <v>44</v>
      </c>
      <c r="B52" s="96" t="str">
        <f t="shared" ref="B52:B54" si="103">$C$51&amp;C52</f>
        <v>Hea 03a</v>
      </c>
      <c r="C52" s="163" t="s">
        <v>696</v>
      </c>
      <c r="D52" s="1122" t="s">
        <v>615</v>
      </c>
      <c r="E52" s="788">
        <v>1</v>
      </c>
      <c r="F52" s="788">
        <v>1</v>
      </c>
      <c r="G52" s="788">
        <v>1</v>
      </c>
      <c r="H52" s="788">
        <v>1</v>
      </c>
      <c r="I52" s="788">
        <v>1</v>
      </c>
      <c r="J52" s="788">
        <v>1</v>
      </c>
      <c r="K52" s="788">
        <v>1</v>
      </c>
      <c r="L52" s="788">
        <v>1</v>
      </c>
      <c r="M52" s="788">
        <v>1</v>
      </c>
      <c r="N52" s="788">
        <v>1</v>
      </c>
      <c r="O52" s="788">
        <v>1</v>
      </c>
      <c r="P52" s="788">
        <v>1</v>
      </c>
      <c r="Q52" s="788">
        <v>1</v>
      </c>
      <c r="S52" s="212">
        <f t="shared" si="65"/>
        <v>1</v>
      </c>
      <c r="T52" s="222">
        <f>IF(AND(ADBT0=ADBT1,ADIND_option03=AD_no),Poeng!S52,0)</f>
        <v>0</v>
      </c>
      <c r="U52" s="167"/>
      <c r="V52" s="167"/>
      <c r="W52" s="168"/>
      <c r="X52" s="169">
        <f>IF($X$4=$X$6,S52,0)</f>
        <v>0</v>
      </c>
      <c r="Y52" s="1175">
        <f>VLOOKUP(B52,'Manuell filtrering og justering'!$A$7:$H$107,'Manuell filtrering og justering'!$H$1,FALSE)</f>
        <v>1</v>
      </c>
      <c r="Z52" s="169">
        <f t="shared" si="67"/>
        <v>0</v>
      </c>
      <c r="AA52" s="170">
        <f>IF($AB$5='Manuell filtrering og justering'!$J$2,Y52,(S52-Z52))</f>
        <v>1</v>
      </c>
      <c r="AC52" s="171">
        <f t="shared" si="68"/>
        <v>8.4210526315789472E-3</v>
      </c>
      <c r="AD52" s="171">
        <f t="shared" si="86"/>
        <v>0</v>
      </c>
      <c r="AE52" s="171">
        <f t="shared" si="87"/>
        <v>0</v>
      </c>
      <c r="AF52" s="171">
        <f t="shared" si="88"/>
        <v>0</v>
      </c>
      <c r="AH52" s="172">
        <f>IF(VLOOKUP(D52,'Pre-Assessment Estimator'!$E$11:$Z$224,'Pre-Assessment Estimator'!$G$2,FALSE)&gt;AA52,AA52,VLOOKUP(D52,'Pre-Assessment Estimator'!$E$11:$Z$224,'Pre-Assessment Estimator'!$G$2,FALSE))</f>
        <v>0</v>
      </c>
      <c r="AI52" s="172">
        <f>IF(VLOOKUP(D52,'Pre-Assessment Estimator'!$E$11:$Z$224,'Pre-Assessment Estimator'!$N$2,FALSE)&gt;AA52,AA52,VLOOKUP(D52,'Pre-Assessment Estimator'!$E$11:$Z$224,'Pre-Assessment Estimator'!$N$2,FALSE))</f>
        <v>0</v>
      </c>
      <c r="AJ52" s="172">
        <f>IF(VLOOKUP(D52,'Pre-Assessment Estimator'!$E$11:$Z$224,'Pre-Assessment Estimator'!$U$2,FALSE)&gt;AA52,AA52,VLOOKUP(D52,'Pre-Assessment Estimator'!$E$11:$Z$224,'Pre-Assessment Estimator'!$U$2,FALSE))</f>
        <v>0</v>
      </c>
      <c r="AL52" s="292"/>
      <c r="AM52" s="293"/>
      <c r="AN52" s="293"/>
      <c r="AO52" s="293"/>
      <c r="AP52" s="294"/>
      <c r="AR52" s="292"/>
      <c r="AS52" s="293"/>
      <c r="AT52" s="293"/>
      <c r="AU52" s="293"/>
      <c r="AV52" s="294"/>
      <c r="AX52" s="188"/>
      <c r="AY52" s="189"/>
      <c r="AZ52" s="189"/>
      <c r="BA52" s="189"/>
      <c r="BB52" s="190"/>
      <c r="BC52" s="695">
        <f t="shared" si="94"/>
        <v>9</v>
      </c>
      <c r="BD52" s="164" t="str">
        <f t="shared" si="70"/>
        <v>N/A</v>
      </c>
      <c r="BE52" s="185"/>
      <c r="BF52" s="182">
        <f t="shared" si="95"/>
        <v>9</v>
      </c>
      <c r="BG52" s="164" t="str">
        <f t="shared" si="72"/>
        <v>N/A</v>
      </c>
      <c r="BH52" s="185"/>
      <c r="BI52" s="182">
        <f t="shared" si="96"/>
        <v>9</v>
      </c>
      <c r="BJ52" s="164" t="str">
        <f t="shared" si="73"/>
        <v>N/A</v>
      </c>
      <c r="BK52" s="185"/>
      <c r="BN52" s="167"/>
      <c r="BO52" s="167"/>
      <c r="BP52" s="167" t="str">
        <f t="shared" si="15"/>
        <v/>
      </c>
      <c r="BQ52" s="167">
        <f t="shared" si="54"/>
        <v>9</v>
      </c>
      <c r="BR52" s="167">
        <f t="shared" si="55"/>
        <v>9</v>
      </c>
      <c r="BS52" s="167">
        <f t="shared" si="56"/>
        <v>9</v>
      </c>
      <c r="BV52" s="167"/>
      <c r="BW52" s="167"/>
      <c r="BX52" s="230"/>
      <c r="BY52" s="167"/>
      <c r="BZ52" s="688"/>
      <c r="CA52" s="167"/>
      <c r="CD52" s="167"/>
      <c r="CF52" s="689"/>
    </row>
    <row r="53" spans="1:84" x14ac:dyDescent="0.25">
      <c r="A53" s="96">
        <v>45</v>
      </c>
      <c r="B53" s="96" t="str">
        <f t="shared" si="103"/>
        <v>Hea 03b</v>
      </c>
      <c r="C53" s="163" t="s">
        <v>699</v>
      </c>
      <c r="D53" s="1122" t="s">
        <v>616</v>
      </c>
      <c r="E53" s="788">
        <v>1</v>
      </c>
      <c r="F53" s="788">
        <v>1</v>
      </c>
      <c r="G53" s="788">
        <v>1</v>
      </c>
      <c r="H53" s="788">
        <v>1</v>
      </c>
      <c r="I53" s="788">
        <v>1</v>
      </c>
      <c r="J53" s="788">
        <v>1</v>
      </c>
      <c r="K53" s="788">
        <v>1</v>
      </c>
      <c r="L53" s="788">
        <v>1</v>
      </c>
      <c r="M53" s="788">
        <v>1</v>
      </c>
      <c r="N53" s="788">
        <v>1</v>
      </c>
      <c r="O53" s="788">
        <v>1</v>
      </c>
      <c r="P53" s="788">
        <v>1</v>
      </c>
      <c r="Q53" s="788">
        <v>1</v>
      </c>
      <c r="S53" s="212">
        <f t="shared" si="65"/>
        <v>1</v>
      </c>
      <c r="T53" s="222">
        <f>IF(AND(ADBT0=ADBT1,ADIND_option03=AD_no),Poeng!S53,0)</f>
        <v>0</v>
      </c>
      <c r="U53" s="167"/>
      <c r="V53" s="167"/>
      <c r="W53" s="168"/>
      <c r="X53" s="169">
        <f>IF($X$4=$X$6,S53,0)</f>
        <v>0</v>
      </c>
      <c r="Y53" s="1175">
        <f>VLOOKUP(B53,'Manuell filtrering og justering'!$A$7:$H$107,'Manuell filtrering og justering'!$H$1,FALSE)</f>
        <v>1</v>
      </c>
      <c r="Z53" s="169">
        <f t="shared" si="67"/>
        <v>0</v>
      </c>
      <c r="AA53" s="170">
        <f>IF($AB$5='Manuell filtrering og justering'!$J$2,Y53,(S53-Z53))</f>
        <v>1</v>
      </c>
      <c r="AC53" s="171">
        <f t="shared" si="68"/>
        <v>8.4210526315789472E-3</v>
      </c>
      <c r="AD53" s="171">
        <f t="shared" si="86"/>
        <v>0</v>
      </c>
      <c r="AE53" s="171">
        <f t="shared" si="87"/>
        <v>0</v>
      </c>
      <c r="AF53" s="171">
        <f t="shared" si="88"/>
        <v>0</v>
      </c>
      <c r="AH53" s="172">
        <f>IF(VLOOKUP(D53,'Pre-Assessment Estimator'!$E$11:$Z$224,'Pre-Assessment Estimator'!$G$2,FALSE)&gt;AA53,AA53,VLOOKUP(D53,'Pre-Assessment Estimator'!$E$11:$Z$224,'Pre-Assessment Estimator'!$G$2,FALSE))</f>
        <v>0</v>
      </c>
      <c r="AI53" s="172">
        <f>IF(VLOOKUP(D53,'Pre-Assessment Estimator'!$E$11:$Z$224,'Pre-Assessment Estimator'!$N$2,FALSE)&gt;AA53,AA53,VLOOKUP(D53,'Pre-Assessment Estimator'!$E$11:$Z$224,'Pre-Assessment Estimator'!$N$2,FALSE))</f>
        <v>0</v>
      </c>
      <c r="AJ53" s="172">
        <f>IF(VLOOKUP(D53,'Pre-Assessment Estimator'!$E$11:$Z$224,'Pre-Assessment Estimator'!$U$2,FALSE)&gt;AA53,AA53,VLOOKUP(D53,'Pre-Assessment Estimator'!$E$11:$Z$224,'Pre-Assessment Estimator'!$U$2,FALSE))</f>
        <v>0</v>
      </c>
      <c r="AL53" s="292"/>
      <c r="AM53" s="293"/>
      <c r="AN53" s="293"/>
      <c r="AO53" s="293"/>
      <c r="AP53" s="294"/>
      <c r="AR53" s="292"/>
      <c r="AS53" s="293"/>
      <c r="AT53" s="293"/>
      <c r="AU53" s="293"/>
      <c r="AV53" s="294"/>
      <c r="AX53" s="188"/>
      <c r="AY53" s="189"/>
      <c r="AZ53" s="189"/>
      <c r="BA53" s="189"/>
      <c r="BB53" s="190"/>
      <c r="BC53" s="695">
        <f t="shared" si="94"/>
        <v>9</v>
      </c>
      <c r="BD53" s="164" t="str">
        <f t="shared" si="70"/>
        <v>N/A</v>
      </c>
      <c r="BE53" s="185"/>
      <c r="BF53" s="182">
        <f t="shared" si="95"/>
        <v>9</v>
      </c>
      <c r="BG53" s="164" t="str">
        <f t="shared" si="72"/>
        <v>N/A</v>
      </c>
      <c r="BH53" s="185"/>
      <c r="BI53" s="182">
        <f t="shared" si="96"/>
        <v>9</v>
      </c>
      <c r="BJ53" s="164" t="str">
        <f t="shared" si="73"/>
        <v>N/A</v>
      </c>
      <c r="BK53" s="185"/>
      <c r="BN53" s="167"/>
      <c r="BO53" s="167"/>
      <c r="BP53" s="167" t="str">
        <f t="shared" si="15"/>
        <v/>
      </c>
      <c r="BQ53" s="167">
        <f t="shared" si="54"/>
        <v>9</v>
      </c>
      <c r="BR53" s="167">
        <f t="shared" si="55"/>
        <v>9</v>
      </c>
      <c r="BS53" s="167">
        <f t="shared" si="56"/>
        <v>9</v>
      </c>
      <c r="BV53" s="167"/>
      <c r="BW53" s="167"/>
      <c r="BX53" s="230"/>
      <c r="BY53" s="167"/>
      <c r="BZ53" s="688"/>
      <c r="CA53" s="167"/>
      <c r="CD53" s="167"/>
      <c r="CF53" s="689"/>
    </row>
    <row r="54" spans="1:84" x14ac:dyDescent="0.25">
      <c r="A54" s="96">
        <v>46</v>
      </c>
      <c r="B54" s="96" t="str">
        <f t="shared" si="103"/>
        <v>Hea 03c</v>
      </c>
      <c r="C54" s="166" t="s">
        <v>700</v>
      </c>
      <c r="D54" s="1122" t="s">
        <v>617</v>
      </c>
      <c r="E54" s="788">
        <v>1</v>
      </c>
      <c r="F54" s="788">
        <v>1</v>
      </c>
      <c r="G54" s="788">
        <v>1</v>
      </c>
      <c r="H54" s="788">
        <v>1</v>
      </c>
      <c r="I54" s="788">
        <v>1</v>
      </c>
      <c r="J54" s="788">
        <v>1</v>
      </c>
      <c r="K54" s="788">
        <v>1</v>
      </c>
      <c r="L54" s="788">
        <v>1</v>
      </c>
      <c r="M54" s="788">
        <v>1</v>
      </c>
      <c r="N54" s="788">
        <v>1</v>
      </c>
      <c r="O54" s="788">
        <v>1</v>
      </c>
      <c r="P54" s="788">
        <v>1</v>
      </c>
      <c r="Q54" s="788">
        <v>1</v>
      </c>
      <c r="S54" s="212">
        <f t="shared" si="65"/>
        <v>1</v>
      </c>
      <c r="T54" s="222">
        <f>IF(AND(ADBT0=ADBT1,ADIND_option03=AD_no),Poeng!S54,0)</f>
        <v>0</v>
      </c>
      <c r="U54" s="167"/>
      <c r="V54" s="167"/>
      <c r="W54" s="168"/>
      <c r="X54" s="169">
        <f>IF(OR($X$4=$X$5,$X$4=$X$6),S54,0)</f>
        <v>0</v>
      </c>
      <c r="Y54" s="1175">
        <f>VLOOKUP(B54,'Manuell filtrering og justering'!$A$7:$H$107,'Manuell filtrering og justering'!$H$1,FALSE)</f>
        <v>1</v>
      </c>
      <c r="Z54" s="169">
        <f t="shared" si="67"/>
        <v>0</v>
      </c>
      <c r="AA54" s="170">
        <f>IF($AB$5='Manuell filtrering og justering'!$J$2,Y54,(S54-Z54))</f>
        <v>1</v>
      </c>
      <c r="AC54" s="171">
        <f t="shared" si="68"/>
        <v>8.4210526315789472E-3</v>
      </c>
      <c r="AD54" s="171">
        <f t="shared" si="86"/>
        <v>0</v>
      </c>
      <c r="AE54" s="171">
        <f t="shared" si="87"/>
        <v>0</v>
      </c>
      <c r="AF54" s="171">
        <f t="shared" si="88"/>
        <v>0</v>
      </c>
      <c r="AH54" s="172">
        <f>IF(VLOOKUP(D54,'Pre-Assessment Estimator'!$E$11:$Z$224,'Pre-Assessment Estimator'!$G$2,FALSE)&gt;AA54,AA54,VLOOKUP(D54,'Pre-Assessment Estimator'!$E$11:$Z$224,'Pre-Assessment Estimator'!$G$2,FALSE))</f>
        <v>0</v>
      </c>
      <c r="AI54" s="172">
        <f>IF(VLOOKUP(D54,'Pre-Assessment Estimator'!$E$11:$Z$224,'Pre-Assessment Estimator'!$N$2,FALSE)&gt;AA54,AA54,VLOOKUP(D54,'Pre-Assessment Estimator'!$E$11:$Z$224,'Pre-Assessment Estimator'!$N$2,FALSE))</f>
        <v>0</v>
      </c>
      <c r="AJ54" s="172">
        <f>IF(VLOOKUP(D54,'Pre-Assessment Estimator'!$E$11:$Z$224,'Pre-Assessment Estimator'!$U$2,FALSE)&gt;AA54,AA54,VLOOKUP(D54,'Pre-Assessment Estimator'!$E$11:$Z$224,'Pre-Assessment Estimator'!$U$2,FALSE))</f>
        <v>0</v>
      </c>
      <c r="AL54" s="292"/>
      <c r="AM54" s="293"/>
      <c r="AN54" s="293"/>
      <c r="AO54" s="293"/>
      <c r="AP54" s="294"/>
      <c r="AR54" s="292"/>
      <c r="AS54" s="293"/>
      <c r="AT54" s="293"/>
      <c r="AU54" s="293"/>
      <c r="AV54" s="294"/>
      <c r="AX54" s="188"/>
      <c r="AY54" s="189"/>
      <c r="AZ54" s="189"/>
      <c r="BA54" s="189"/>
      <c r="BB54" s="190"/>
      <c r="BC54" s="695">
        <f t="shared" si="94"/>
        <v>9</v>
      </c>
      <c r="BD54" s="164" t="str">
        <f t="shared" si="70"/>
        <v>N/A</v>
      </c>
      <c r="BE54" s="185"/>
      <c r="BF54" s="182">
        <f t="shared" si="95"/>
        <v>9</v>
      </c>
      <c r="BG54" s="164" t="str">
        <f t="shared" si="72"/>
        <v>N/A</v>
      </c>
      <c r="BH54" s="185"/>
      <c r="BI54" s="182">
        <f t="shared" si="96"/>
        <v>9</v>
      </c>
      <c r="BJ54" s="164" t="str">
        <f t="shared" si="73"/>
        <v>N/A</v>
      </c>
      <c r="BK54" s="185"/>
      <c r="BN54" s="167"/>
      <c r="BO54" s="167"/>
      <c r="BP54" s="167" t="str">
        <f t="shared" si="15"/>
        <v/>
      </c>
      <c r="BQ54" s="167">
        <f t="shared" si="54"/>
        <v>9</v>
      </c>
      <c r="BR54" s="167">
        <f t="shared" si="55"/>
        <v>9</v>
      </c>
      <c r="BS54" s="167">
        <f t="shared" si="56"/>
        <v>9</v>
      </c>
      <c r="BV54" s="167"/>
      <c r="BW54" s="167"/>
      <c r="BX54" s="230"/>
      <c r="BY54" s="167"/>
      <c r="BZ54" s="688"/>
      <c r="CA54" s="167"/>
      <c r="CD54" s="167"/>
      <c r="CF54" s="689"/>
    </row>
    <row r="55" spans="1:84" x14ac:dyDescent="0.25">
      <c r="A55" s="96">
        <v>47</v>
      </c>
      <c r="C55" s="712" t="s">
        <v>122</v>
      </c>
      <c r="D55" s="713"/>
      <c r="E55" s="949"/>
      <c r="F55" s="949"/>
      <c r="G55" s="949"/>
      <c r="H55" s="949"/>
      <c r="I55" s="949"/>
      <c r="J55" s="949"/>
      <c r="K55" s="949"/>
      <c r="L55" s="949"/>
      <c r="M55" s="949"/>
      <c r="N55" s="949"/>
      <c r="O55" s="949"/>
      <c r="P55" s="949"/>
      <c r="Q55" s="949"/>
      <c r="S55" s="976"/>
      <c r="T55" s="712"/>
      <c r="U55" s="711"/>
      <c r="V55" s="711"/>
      <c r="W55" s="969"/>
      <c r="X55" s="970"/>
      <c r="Y55" s="1175"/>
      <c r="Z55" s="970"/>
      <c r="AA55" s="971"/>
      <c r="AC55" s="171">
        <f t="shared" si="68"/>
        <v>0</v>
      </c>
      <c r="AD55" s="974"/>
      <c r="AE55" s="974"/>
      <c r="AF55" s="974"/>
      <c r="AH55" s="731"/>
      <c r="AI55" s="731"/>
      <c r="AJ55" s="731"/>
      <c r="AK55" s="96" t="s">
        <v>428</v>
      </c>
      <c r="AL55" s="292"/>
      <c r="AM55" s="293"/>
      <c r="AN55" s="293"/>
      <c r="AO55" s="293"/>
      <c r="AP55" s="294"/>
      <c r="AR55" s="292"/>
      <c r="AS55" s="293"/>
      <c r="AT55" s="293"/>
      <c r="AU55" s="293"/>
      <c r="AV55" s="294"/>
      <c r="AX55" s="188"/>
      <c r="AY55" s="189"/>
      <c r="AZ55" s="189"/>
      <c r="BA55" s="189"/>
      <c r="BB55" s="190"/>
      <c r="BC55" s="695">
        <f t="shared" si="94"/>
        <v>9</v>
      </c>
      <c r="BD55" s="164" t="str">
        <f t="shared" si="70"/>
        <v>N/A</v>
      </c>
      <c r="BE55" s="185"/>
      <c r="BF55" s="182">
        <f t="shared" si="95"/>
        <v>9</v>
      </c>
      <c r="BG55" s="164" t="str">
        <f t="shared" si="72"/>
        <v>N/A</v>
      </c>
      <c r="BH55" s="185"/>
      <c r="BI55" s="182">
        <f t="shared" si="96"/>
        <v>9</v>
      </c>
      <c r="BJ55" s="164" t="str">
        <f t="shared" si="73"/>
        <v>N/A</v>
      </c>
      <c r="BK55" s="185"/>
      <c r="BN55" s="167"/>
      <c r="BO55" s="167"/>
      <c r="BP55" s="167" t="str">
        <f t="shared" si="15"/>
        <v/>
      </c>
      <c r="BQ55" s="167">
        <f t="shared" si="54"/>
        <v>9</v>
      </c>
      <c r="BR55" s="167">
        <f t="shared" si="55"/>
        <v>9</v>
      </c>
      <c r="BS55" s="167">
        <f t="shared" si="56"/>
        <v>9</v>
      </c>
      <c r="BV55" s="167" t="str">
        <f>C55</f>
        <v>Hea 04</v>
      </c>
      <c r="BW55" s="167" t="str">
        <f>IFERROR(VLOOKUP($D55,'Pre-Assessment Estimator'!$E$11:$AB$224,'Pre-Assessment Estimator'!AB$2,FALSE),"")</f>
        <v/>
      </c>
      <c r="BX55" s="230" t="str">
        <f>IFERROR(VLOOKUP($D55,'Pre-Assessment Estimator'!$E$11:$AI$224,'Pre-Assessment Estimator'!AI$2,FALSE),"")</f>
        <v/>
      </c>
      <c r="BY55" s="167" t="str">
        <f>IFERROR(VLOOKUP($BW55,$D$291:$G$324,E$289,FALSE),"")</f>
        <v/>
      </c>
      <c r="BZ55" s="688" t="s">
        <v>433</v>
      </c>
      <c r="CA55" s="167"/>
      <c r="CB55" s="96" t="str">
        <f>IFERROR(VLOOKUP($BW55,$D$291:$G$324,H$289,FALSE),"")</f>
        <v/>
      </c>
      <c r="CC55" s="96" t="s">
        <v>439</v>
      </c>
      <c r="CD55" s="167">
        <f t="shared" si="74"/>
        <v>1</v>
      </c>
      <c r="CF55" s="689">
        <f>IF($BW$5=ais_no,CD55,IF(AND(BZ55=$BZ$4,BW55=$CB$4),0,BY55))</f>
        <v>1</v>
      </c>
    </row>
    <row r="56" spans="1:84" x14ac:dyDescent="0.25">
      <c r="A56" s="96">
        <v>48</v>
      </c>
      <c r="B56" s="137" t="str">
        <f>C56</f>
        <v>Hea 05</v>
      </c>
      <c r="C56" s="847" t="s">
        <v>123</v>
      </c>
      <c r="D56" s="845" t="s">
        <v>129</v>
      </c>
      <c r="E56" s="947">
        <f t="shared" ref="E56:Q56" si="104">SUM(E57:E58)</f>
        <v>3</v>
      </c>
      <c r="F56" s="947">
        <f t="shared" si="104"/>
        <v>3</v>
      </c>
      <c r="G56" s="947">
        <f t="shared" si="104"/>
        <v>4</v>
      </c>
      <c r="H56" s="947">
        <f t="shared" si="104"/>
        <v>3</v>
      </c>
      <c r="I56" s="947">
        <f t="shared" si="104"/>
        <v>3</v>
      </c>
      <c r="J56" s="947">
        <f t="shared" si="104"/>
        <v>3</v>
      </c>
      <c r="K56" s="947">
        <f t="shared" si="104"/>
        <v>3</v>
      </c>
      <c r="L56" s="947">
        <f t="shared" si="104"/>
        <v>4</v>
      </c>
      <c r="M56" s="947">
        <f t="shared" si="104"/>
        <v>4</v>
      </c>
      <c r="N56" s="947">
        <f t="shared" si="104"/>
        <v>3</v>
      </c>
      <c r="O56" s="947">
        <f t="shared" si="104"/>
        <v>3</v>
      </c>
      <c r="P56" s="947">
        <f t="shared" ref="P56" si="105">SUM(P57:P58)</f>
        <v>3</v>
      </c>
      <c r="Q56" s="947">
        <f t="shared" si="104"/>
        <v>3</v>
      </c>
      <c r="R56" s="675" t="s">
        <v>576</v>
      </c>
      <c r="S56" s="975">
        <f t="shared" ref="S56:S61" si="106">HLOOKUP($D$6,$E$9:$Q$231,$A56,FALSE)</f>
        <v>3</v>
      </c>
      <c r="T56" s="222"/>
      <c r="U56" s="230"/>
      <c r="V56" s="230"/>
      <c r="W56" s="1113">
        <f>'Manuell filtrering og justering'!E21</f>
        <v>0</v>
      </c>
      <c r="X56" s="977"/>
      <c r="Y56" s="1195">
        <f t="shared" ref="Y56" si="107">SUM(Y57:Y58)</f>
        <v>4</v>
      </c>
      <c r="Z56" s="977">
        <f t="shared" ref="Z56:Z61" si="108">IF(SUM(T56:X56)&gt;S56,S56,SUM(T56:X56))</f>
        <v>0</v>
      </c>
      <c r="AA56" s="1081">
        <f t="shared" ref="AA56" si="109">SUM(AA57:AA58)</f>
        <v>3</v>
      </c>
      <c r="AC56" s="171">
        <f t="shared" si="68"/>
        <v>2.5263157894736842E-2</v>
      </c>
      <c r="AD56" s="935">
        <f>SUM(AD57:AD58)</f>
        <v>0</v>
      </c>
      <c r="AE56" s="935">
        <f t="shared" ref="AE56:AF56" si="110">SUM(AE57:AE58)</f>
        <v>0</v>
      </c>
      <c r="AF56" s="935">
        <f t="shared" si="110"/>
        <v>0</v>
      </c>
      <c r="AH56" s="972">
        <f t="shared" ref="AH56:AJ56" si="111">SUM(AH57:AH58)</f>
        <v>0</v>
      </c>
      <c r="AI56" s="972">
        <f t="shared" si="111"/>
        <v>0</v>
      </c>
      <c r="AJ56" s="972">
        <f t="shared" si="111"/>
        <v>0</v>
      </c>
      <c r="AL56" s="292"/>
      <c r="AM56" s="293"/>
      <c r="AN56" s="293"/>
      <c r="AO56" s="293"/>
      <c r="AP56" s="294"/>
      <c r="AR56" s="292"/>
      <c r="AS56" s="293"/>
      <c r="AT56" s="293"/>
      <c r="AU56" s="293"/>
      <c r="AV56" s="294"/>
      <c r="AX56" s="188"/>
      <c r="AY56" s="189"/>
      <c r="AZ56" s="189"/>
      <c r="BA56" s="189"/>
      <c r="BB56" s="190"/>
      <c r="BC56" s="695">
        <f t="shared" si="94"/>
        <v>9</v>
      </c>
      <c r="BD56" s="164" t="str">
        <f t="shared" si="70"/>
        <v>N/A</v>
      </c>
      <c r="BE56" s="185"/>
      <c r="BF56" s="182">
        <f t="shared" si="95"/>
        <v>9</v>
      </c>
      <c r="BG56" s="164" t="str">
        <f t="shared" si="72"/>
        <v>N/A</v>
      </c>
      <c r="BH56" s="185"/>
      <c r="BI56" s="182">
        <f t="shared" si="96"/>
        <v>9</v>
      </c>
      <c r="BJ56" s="164" t="str">
        <f t="shared" si="73"/>
        <v>N/A</v>
      </c>
      <c r="BK56" s="185"/>
      <c r="BN56" s="167"/>
      <c r="BO56" s="167"/>
      <c r="BP56" s="167" t="str">
        <f t="shared" si="15"/>
        <v/>
      </c>
      <c r="BQ56" s="167">
        <f t="shared" si="54"/>
        <v>9</v>
      </c>
      <c r="BR56" s="167">
        <f t="shared" si="55"/>
        <v>9</v>
      </c>
      <c r="BS56" s="167">
        <f t="shared" si="56"/>
        <v>9</v>
      </c>
      <c r="BV56" s="167" t="str">
        <f>C56</f>
        <v>Hea 05</v>
      </c>
      <c r="BW56" s="167" t="str">
        <f>IFERROR(VLOOKUP($D56,'Pre-Assessment Estimator'!$E$11:$AB$224,'Pre-Assessment Estimator'!AB$2,FALSE),"")</f>
        <v>No</v>
      </c>
      <c r="BX56" s="167">
        <f>IFERROR(VLOOKUP($D56,'Pre-Assessment Estimator'!$E$11:$AI$224,'Pre-Assessment Estimator'!AI$2,FALSE),"")</f>
        <v>0</v>
      </c>
      <c r="BY56" s="167">
        <f>IFERROR(VLOOKUP($BW56,$D$291:$G$324,E$289,FALSE),"")</f>
        <v>1</v>
      </c>
      <c r="BZ56" s="167">
        <f>IFERROR(VLOOKUP($BW56,$D$291:$G$324,F$289,FALSE),"")</f>
        <v>0</v>
      </c>
      <c r="CA56" s="167"/>
      <c r="CB56" s="96" t="str">
        <f>IFERROR(VLOOKUP($BW56,$D$291:$G$324,H$289,FALSE),"")</f>
        <v/>
      </c>
    </row>
    <row r="57" spans="1:84" x14ac:dyDescent="0.25">
      <c r="A57" s="96">
        <v>49</v>
      </c>
      <c r="C57" s="163" t="s">
        <v>696</v>
      </c>
      <c r="D57" s="954" t="s">
        <v>618</v>
      </c>
      <c r="E57" s="780"/>
      <c r="F57" s="780"/>
      <c r="G57" s="780"/>
      <c r="H57" s="780"/>
      <c r="I57" s="780"/>
      <c r="J57" s="780"/>
      <c r="K57" s="780"/>
      <c r="L57" s="780"/>
      <c r="M57" s="780"/>
      <c r="N57" s="780"/>
      <c r="O57" s="780"/>
      <c r="P57" s="780"/>
      <c r="Q57" s="780"/>
      <c r="R57" s="675"/>
      <c r="S57" s="212">
        <f t="shared" si="106"/>
        <v>0</v>
      </c>
      <c r="T57" s="166"/>
      <c r="U57" s="167"/>
      <c r="V57" s="167"/>
      <c r="W57" s="168"/>
      <c r="X57" s="169"/>
      <c r="Y57" s="1175"/>
      <c r="Z57" s="169">
        <f t="shared" si="108"/>
        <v>0</v>
      </c>
      <c r="AA57" s="170">
        <f>IF($AB$5='Manuell filtrering og justering'!$J$2,Y57,(S57-Z57))</f>
        <v>0</v>
      </c>
      <c r="AC57" s="171">
        <f t="shared" si="68"/>
        <v>0</v>
      </c>
      <c r="AD57" s="171">
        <f t="shared" si="86"/>
        <v>0</v>
      </c>
      <c r="AE57" s="171">
        <f t="shared" si="87"/>
        <v>0</v>
      </c>
      <c r="AF57" s="171">
        <f t="shared" si="88"/>
        <v>0</v>
      </c>
      <c r="AH57" s="172">
        <f>IF(VLOOKUP(D57,'Pre-Assessment Estimator'!$E$11:$Z$224,'Pre-Assessment Estimator'!$G$2,FALSE)&gt;AA57,AA57,VLOOKUP(D57,'Pre-Assessment Estimator'!$E$11:$Z$224,'Pre-Assessment Estimator'!$G$2,FALSE))</f>
        <v>0</v>
      </c>
      <c r="AI57" s="172">
        <f>IF(VLOOKUP(D57,'Pre-Assessment Estimator'!$E$11:$Z$224,'Pre-Assessment Estimator'!$N$2,FALSE)&gt;AA57,AA57,VLOOKUP(D57,'Pre-Assessment Estimator'!$E$11:$Z$224,'Pre-Assessment Estimator'!$N$2,FALSE))</f>
        <v>0</v>
      </c>
      <c r="AJ57" s="172">
        <f>IF(VLOOKUP(D57,'Pre-Assessment Estimator'!$E$11:$Z$224,'Pre-Assessment Estimator'!$U$2,FALSE)&gt;AA57,AA57,VLOOKUP(D57,'Pre-Assessment Estimator'!$E$11:$Z$224,'Pre-Assessment Estimator'!$U$2,FALSE))</f>
        <v>0</v>
      </c>
      <c r="AL57" s="292"/>
      <c r="AM57" s="293"/>
      <c r="AN57" s="293"/>
      <c r="AO57" s="293"/>
      <c r="AP57" s="294"/>
      <c r="AR57" s="292"/>
      <c r="AS57" s="293"/>
      <c r="AT57" s="293"/>
      <c r="AU57" s="293"/>
      <c r="AV57" s="294"/>
      <c r="AX57" s="188"/>
      <c r="AY57" s="189"/>
      <c r="AZ57" s="189"/>
      <c r="BA57" s="189"/>
      <c r="BB57" s="190"/>
      <c r="BC57" s="695">
        <f t="shared" si="94"/>
        <v>9</v>
      </c>
      <c r="BD57" s="164" t="str">
        <f t="shared" si="70"/>
        <v>N/A</v>
      </c>
      <c r="BE57" s="185"/>
      <c r="BF57" s="182">
        <f t="shared" si="95"/>
        <v>9</v>
      </c>
      <c r="BG57" s="164" t="str">
        <f t="shared" si="72"/>
        <v>N/A</v>
      </c>
      <c r="BH57" s="185"/>
      <c r="BI57" s="182">
        <f t="shared" si="96"/>
        <v>9</v>
      </c>
      <c r="BJ57" s="164" t="str">
        <f t="shared" si="73"/>
        <v>N/A</v>
      </c>
      <c r="BK57" s="185"/>
      <c r="BN57" s="167"/>
      <c r="BO57" s="167"/>
      <c r="BP57" s="167" t="str">
        <f t="shared" si="15"/>
        <v/>
      </c>
      <c r="BQ57" s="167">
        <f t="shared" si="54"/>
        <v>9</v>
      </c>
      <c r="BR57" s="167">
        <f t="shared" si="55"/>
        <v>9</v>
      </c>
      <c r="BS57" s="167">
        <f t="shared" si="56"/>
        <v>9</v>
      </c>
      <c r="BV57" s="167"/>
      <c r="BW57" s="167"/>
      <c r="BX57" s="167"/>
      <c r="BY57" s="167"/>
      <c r="BZ57" s="167"/>
      <c r="CA57" s="167"/>
    </row>
    <row r="58" spans="1:84" x14ac:dyDescent="0.25">
      <c r="A58" s="96">
        <v>50</v>
      </c>
      <c r="B58" s="96" t="str">
        <f t="shared" ref="B58" si="112">$C$56&amp;C58</f>
        <v>Hea 05b</v>
      </c>
      <c r="C58" s="163" t="s">
        <v>699</v>
      </c>
      <c r="D58" s="1122" t="s">
        <v>619</v>
      </c>
      <c r="E58" s="788">
        <v>3</v>
      </c>
      <c r="F58" s="788">
        <v>3</v>
      </c>
      <c r="G58" s="1036">
        <v>4</v>
      </c>
      <c r="H58" s="788">
        <v>3</v>
      </c>
      <c r="I58" s="788">
        <v>3</v>
      </c>
      <c r="J58" s="788">
        <v>3</v>
      </c>
      <c r="K58" s="788">
        <v>3</v>
      </c>
      <c r="L58" s="1036">
        <v>4</v>
      </c>
      <c r="M58" s="1036">
        <v>4</v>
      </c>
      <c r="N58" s="788">
        <v>3</v>
      </c>
      <c r="O58" s="788">
        <v>3</v>
      </c>
      <c r="P58" s="788">
        <v>3</v>
      </c>
      <c r="Q58" s="788">
        <v>3</v>
      </c>
      <c r="R58" s="675"/>
      <c r="S58" s="212">
        <f t="shared" si="106"/>
        <v>3</v>
      </c>
      <c r="T58" s="166"/>
      <c r="U58" s="167"/>
      <c r="V58" s="167"/>
      <c r="W58" s="168"/>
      <c r="X58" s="169">
        <f>IF($X$4=$X$6,S58,0)</f>
        <v>0</v>
      </c>
      <c r="Y58" s="1175">
        <f>VLOOKUP(B58,'Manuell filtrering og justering'!$A$7:$H$107,'Manuell filtrering og justering'!$H$1,FALSE)</f>
        <v>4</v>
      </c>
      <c r="Z58" s="169">
        <f t="shared" si="108"/>
        <v>0</v>
      </c>
      <c r="AA58" s="170">
        <f>IF($AB$5='Manuell filtrering og justering'!$J$2,Y58,(S58-Z58))</f>
        <v>3</v>
      </c>
      <c r="AC58" s="171">
        <f t="shared" si="68"/>
        <v>2.5263157894736842E-2</v>
      </c>
      <c r="AD58" s="171">
        <f t="shared" si="86"/>
        <v>0</v>
      </c>
      <c r="AE58" s="171">
        <f t="shared" si="87"/>
        <v>0</v>
      </c>
      <c r="AF58" s="171">
        <f t="shared" si="88"/>
        <v>0</v>
      </c>
      <c r="AH58" s="1082">
        <f>IF(AH236=AD_no,0,IF(VLOOKUP(D58,'Pre-Assessment Estimator'!$E$11:$Z$224,'Pre-Assessment Estimator'!$G$2,FALSE)&gt;AA58,AA58,VLOOKUP(D58,'Pre-Assessment Estimator'!$E$11:$Z$224,'Pre-Assessment Estimator'!$G$2,FALSE)))</f>
        <v>0</v>
      </c>
      <c r="AI58" s="1082">
        <f>IF(AI236=AD_no,0,IF(VLOOKUP(D58,'Pre-Assessment Estimator'!$E$11:$Z$224,'Pre-Assessment Estimator'!$N$2,FALSE)&gt;AA58,AA58,VLOOKUP(D58,'Pre-Assessment Estimator'!$E$11:$Z$224,'Pre-Assessment Estimator'!$N$2,FALSE)))</f>
        <v>0</v>
      </c>
      <c r="AJ58" s="1082">
        <f>IF(AJ236=AD_no,0,IF(VLOOKUP(D58,'Pre-Assessment Estimator'!$E$11:$Z$224,'Pre-Assessment Estimator'!$U$2,FALSE)&gt;AA58,AA58,VLOOKUP(D58,'Pre-Assessment Estimator'!$E$11:$Z$224,'Pre-Assessment Estimator'!$U$2,FALSE)))</f>
        <v>0</v>
      </c>
      <c r="AL58" s="292"/>
      <c r="AM58" s="293"/>
      <c r="AN58" s="293"/>
      <c r="AO58" s="293"/>
      <c r="AP58" s="294"/>
      <c r="AR58" s="292"/>
      <c r="AS58" s="293"/>
      <c r="AT58" s="293"/>
      <c r="AU58" s="293"/>
      <c r="AV58" s="294"/>
      <c r="AX58" s="188"/>
      <c r="AY58" s="189"/>
      <c r="AZ58" s="189"/>
      <c r="BA58" s="189"/>
      <c r="BB58" s="190"/>
      <c r="BC58" s="695">
        <f t="shared" si="94"/>
        <v>9</v>
      </c>
      <c r="BD58" s="164" t="str">
        <f t="shared" si="70"/>
        <v>N/A</v>
      </c>
      <c r="BE58" s="185"/>
      <c r="BF58" s="182">
        <f t="shared" si="95"/>
        <v>9</v>
      </c>
      <c r="BG58" s="164" t="str">
        <f t="shared" si="72"/>
        <v>N/A</v>
      </c>
      <c r="BH58" s="185"/>
      <c r="BI58" s="182">
        <f t="shared" si="96"/>
        <v>9</v>
      </c>
      <c r="BJ58" s="164" t="str">
        <f t="shared" si="73"/>
        <v>N/A</v>
      </c>
      <c r="BK58" s="185"/>
      <c r="BN58" s="167"/>
      <c r="BO58" s="167"/>
      <c r="BP58" s="167" t="str">
        <f t="shared" si="15"/>
        <v/>
      </c>
      <c r="BQ58" s="167">
        <f t="shared" si="54"/>
        <v>9</v>
      </c>
      <c r="BR58" s="167">
        <f t="shared" si="55"/>
        <v>9</v>
      </c>
      <c r="BS58" s="167">
        <f t="shared" si="56"/>
        <v>9</v>
      </c>
      <c r="BV58" s="167"/>
      <c r="BW58" s="167"/>
      <c r="BX58" s="167"/>
      <c r="BY58" s="167"/>
      <c r="BZ58" s="167"/>
      <c r="CA58" s="167"/>
    </row>
    <row r="59" spans="1:84" x14ac:dyDescent="0.25">
      <c r="A59" s="96">
        <v>51</v>
      </c>
      <c r="B59" s="137" t="str">
        <f>C59</f>
        <v>Hea 06</v>
      </c>
      <c r="C59" s="847" t="s">
        <v>124</v>
      </c>
      <c r="D59" s="845" t="s">
        <v>116</v>
      </c>
      <c r="E59" s="947">
        <f t="shared" ref="E59:Q59" si="113">SUM(E60:E61)</f>
        <v>2</v>
      </c>
      <c r="F59" s="947">
        <f t="shared" si="113"/>
        <v>2</v>
      </c>
      <c r="G59" s="947">
        <f t="shared" si="113"/>
        <v>3</v>
      </c>
      <c r="H59" s="947">
        <f t="shared" si="113"/>
        <v>2</v>
      </c>
      <c r="I59" s="947">
        <f t="shared" si="113"/>
        <v>2</v>
      </c>
      <c r="J59" s="947">
        <f t="shared" si="113"/>
        <v>2</v>
      </c>
      <c r="K59" s="947">
        <f t="shared" si="113"/>
        <v>2</v>
      </c>
      <c r="L59" s="947">
        <f t="shared" si="113"/>
        <v>3</v>
      </c>
      <c r="M59" s="947">
        <f t="shared" si="113"/>
        <v>3</v>
      </c>
      <c r="N59" s="947">
        <f t="shared" si="113"/>
        <v>2</v>
      </c>
      <c r="O59" s="947">
        <f t="shared" si="113"/>
        <v>2</v>
      </c>
      <c r="P59" s="947">
        <f t="shared" ref="P59" si="114">SUM(P60:P61)</f>
        <v>2</v>
      </c>
      <c r="Q59" s="947">
        <f t="shared" si="113"/>
        <v>2</v>
      </c>
      <c r="R59" s="973" t="s">
        <v>577</v>
      </c>
      <c r="S59" s="975">
        <f t="shared" si="106"/>
        <v>2</v>
      </c>
      <c r="T59" s="222"/>
      <c r="U59" s="230"/>
      <c r="V59" s="230"/>
      <c r="W59" s="1113">
        <f>'Manuell filtrering og justering'!E22</f>
        <v>0</v>
      </c>
      <c r="X59" s="977"/>
      <c r="Y59" s="1195">
        <f t="shared" ref="Y59" si="115">SUM(Y60:Y61)</f>
        <v>3</v>
      </c>
      <c r="Z59" s="977">
        <f t="shared" si="108"/>
        <v>0</v>
      </c>
      <c r="AA59" s="1081">
        <f t="shared" ref="AA59" si="116">SUM(AA60:AA61)</f>
        <v>2</v>
      </c>
      <c r="AC59" s="171">
        <f t="shared" si="68"/>
        <v>1.6842105263157894E-2</v>
      </c>
      <c r="AD59" s="935">
        <f>SUM(AD60:AD61)</f>
        <v>0</v>
      </c>
      <c r="AE59" s="935">
        <f t="shared" ref="AE59:AF59" si="117">SUM(AE60:AE62)</f>
        <v>0</v>
      </c>
      <c r="AF59" s="935">
        <f t="shared" si="117"/>
        <v>0</v>
      </c>
      <c r="AH59" s="972">
        <f t="shared" ref="AH59:AJ59" si="118">SUM(AH60:AH61)</f>
        <v>0</v>
      </c>
      <c r="AI59" s="972">
        <f t="shared" si="118"/>
        <v>0</v>
      </c>
      <c r="AJ59" s="972">
        <f t="shared" si="118"/>
        <v>0</v>
      </c>
      <c r="AL59" s="292"/>
      <c r="AM59" s="293"/>
      <c r="AN59" s="293"/>
      <c r="AO59" s="293"/>
      <c r="AP59" s="294"/>
      <c r="AR59" s="292"/>
      <c r="AS59" s="293"/>
      <c r="AT59" s="293"/>
      <c r="AU59" s="293"/>
      <c r="AV59" s="294"/>
      <c r="AX59" s="188"/>
      <c r="AY59" s="189"/>
      <c r="AZ59" s="189"/>
      <c r="BA59" s="189"/>
      <c r="BB59" s="190"/>
      <c r="BC59" s="695">
        <f t="shared" si="94"/>
        <v>9</v>
      </c>
      <c r="BD59" s="164" t="str">
        <f t="shared" si="70"/>
        <v>N/A</v>
      </c>
      <c r="BE59" s="185"/>
      <c r="BF59" s="182">
        <f t="shared" si="95"/>
        <v>9</v>
      </c>
      <c r="BG59" s="164" t="str">
        <f t="shared" si="72"/>
        <v>N/A</v>
      </c>
      <c r="BH59" s="185"/>
      <c r="BI59" s="182">
        <f t="shared" si="96"/>
        <v>9</v>
      </c>
      <c r="BJ59" s="164" t="str">
        <f t="shared" si="73"/>
        <v>N/A</v>
      </c>
      <c r="BK59" s="185"/>
      <c r="BN59" s="167"/>
      <c r="BO59" s="167"/>
      <c r="BP59" s="167" t="str">
        <f t="shared" si="15"/>
        <v/>
      </c>
      <c r="BQ59" s="167">
        <f t="shared" si="54"/>
        <v>9</v>
      </c>
      <c r="BR59" s="167">
        <f t="shared" si="55"/>
        <v>9</v>
      </c>
      <c r="BS59" s="167">
        <f t="shared" si="56"/>
        <v>9</v>
      </c>
      <c r="BV59" s="167" t="str">
        <f>C59</f>
        <v>Hea 06</v>
      </c>
      <c r="BW59" s="167" t="str">
        <f>IFERROR(VLOOKUP($D59,'Pre-Assessment Estimator'!$E$11:$AB$224,'Pre-Assessment Estimator'!AB$2,FALSE),"")</f>
        <v>N/A</v>
      </c>
      <c r="BX59" s="167">
        <f>IFERROR(VLOOKUP($D59,'Pre-Assessment Estimator'!$E$11:$AI$224,'Pre-Assessment Estimator'!AI$2,FALSE),"")</f>
        <v>0</v>
      </c>
      <c r="BY59" s="167">
        <f>IFERROR(VLOOKUP($BW59,$D$291:$G$324,E$289,FALSE),"")</f>
        <v>1</v>
      </c>
      <c r="BZ59" s="167">
        <f>IFERROR(VLOOKUP($BW59,$D$291:$G$324,F$289,FALSE),"")</f>
        <v>0</v>
      </c>
      <c r="CA59" s="167"/>
      <c r="CB59" s="96" t="str">
        <f>IFERROR(VLOOKUP($BW59,$D$291:$G$324,H$289,FALSE),"")</f>
        <v/>
      </c>
    </row>
    <row r="60" spans="1:84" x14ac:dyDescent="0.25">
      <c r="A60" s="96">
        <v>52</v>
      </c>
      <c r="B60" s="96" t="str">
        <f t="shared" ref="B60:B61" si="119">$C$59&amp;C60</f>
        <v>Hea 06a</v>
      </c>
      <c r="C60" s="163" t="s">
        <v>696</v>
      </c>
      <c r="D60" s="1122" t="s">
        <v>620</v>
      </c>
      <c r="E60" s="788">
        <v>1</v>
      </c>
      <c r="F60" s="788">
        <v>1</v>
      </c>
      <c r="G60" s="1036">
        <v>2</v>
      </c>
      <c r="H60" s="788">
        <v>1</v>
      </c>
      <c r="I60" s="788">
        <v>1</v>
      </c>
      <c r="J60" s="788">
        <v>1</v>
      </c>
      <c r="K60" s="788">
        <v>1</v>
      </c>
      <c r="L60" s="1036">
        <v>2</v>
      </c>
      <c r="M60" s="1036">
        <v>2</v>
      </c>
      <c r="N60" s="788">
        <v>1</v>
      </c>
      <c r="O60" s="788">
        <v>1</v>
      </c>
      <c r="P60" s="788">
        <v>1</v>
      </c>
      <c r="Q60" s="788">
        <v>1</v>
      </c>
      <c r="R60" s="808"/>
      <c r="S60" s="212">
        <f t="shared" si="106"/>
        <v>1</v>
      </c>
      <c r="T60" s="166"/>
      <c r="U60" s="167"/>
      <c r="V60" s="167"/>
      <c r="W60" s="168"/>
      <c r="X60" s="169">
        <f>IF($X$4=$X$6,S60,0)</f>
        <v>0</v>
      </c>
      <c r="Y60" s="1175">
        <f>VLOOKUP(B60,'Manuell filtrering og justering'!$A$7:$H$107,'Manuell filtrering og justering'!$H$1,FALSE)</f>
        <v>2</v>
      </c>
      <c r="Z60" s="169">
        <f t="shared" si="108"/>
        <v>0</v>
      </c>
      <c r="AA60" s="170">
        <f>IF($AB$5='Manuell filtrering og justering'!$J$2,Y60,(S60-Z60))</f>
        <v>1</v>
      </c>
      <c r="AC60" s="171">
        <f t="shared" si="68"/>
        <v>8.4210526315789472E-3</v>
      </c>
      <c r="AD60" s="171">
        <f t="shared" si="86"/>
        <v>0</v>
      </c>
      <c r="AE60" s="171">
        <f t="shared" si="87"/>
        <v>0</v>
      </c>
      <c r="AF60" s="171">
        <f t="shared" si="88"/>
        <v>0</v>
      </c>
      <c r="AH60" s="172">
        <f>IF(VLOOKUP(D60,'Pre-Assessment Estimator'!$E$11:$Z$224,'Pre-Assessment Estimator'!$G$2,FALSE)&gt;AA60,AA60,VLOOKUP(D60,'Pre-Assessment Estimator'!$E$11:$Z$224,'Pre-Assessment Estimator'!$G$2,FALSE))</f>
        <v>0</v>
      </c>
      <c r="AI60" s="172">
        <f>IF(VLOOKUP(D60,'Pre-Assessment Estimator'!$E$11:$Z$224,'Pre-Assessment Estimator'!$N$2,FALSE)&gt;AA60,AA60,VLOOKUP(D60,'Pre-Assessment Estimator'!$E$11:$Z$224,'Pre-Assessment Estimator'!$N$2,FALSE))</f>
        <v>0</v>
      </c>
      <c r="AJ60" s="172">
        <f>IF(VLOOKUP(D60,'Pre-Assessment Estimator'!$E$11:$Z$224,'Pre-Assessment Estimator'!$U$2,FALSE)&gt;AA60,AA60,VLOOKUP(D60,'Pre-Assessment Estimator'!$E$11:$Z$224,'Pre-Assessment Estimator'!$U$2,FALSE))</f>
        <v>0</v>
      </c>
      <c r="AL60" s="292"/>
      <c r="AM60" s="293"/>
      <c r="AN60" s="293"/>
      <c r="AO60" s="293"/>
      <c r="AP60" s="294"/>
      <c r="AR60" s="292"/>
      <c r="AS60" s="293"/>
      <c r="AT60" s="293"/>
      <c r="AU60" s="293"/>
      <c r="AV60" s="294"/>
      <c r="AX60" s="188"/>
      <c r="AY60" s="189"/>
      <c r="AZ60" s="189"/>
      <c r="BA60" s="189"/>
      <c r="BB60" s="190"/>
      <c r="BC60" s="695">
        <f t="shared" si="94"/>
        <v>9</v>
      </c>
      <c r="BD60" s="164" t="str">
        <f t="shared" si="70"/>
        <v>N/A</v>
      </c>
      <c r="BE60" s="185"/>
      <c r="BF60" s="182">
        <f t="shared" si="95"/>
        <v>9</v>
      </c>
      <c r="BG60" s="164" t="str">
        <f t="shared" si="72"/>
        <v>N/A</v>
      </c>
      <c r="BH60" s="185"/>
      <c r="BI60" s="182">
        <f t="shared" si="96"/>
        <v>9</v>
      </c>
      <c r="BJ60" s="164" t="str">
        <f t="shared" si="73"/>
        <v>N/A</v>
      </c>
      <c r="BK60" s="185"/>
      <c r="BN60" s="167"/>
      <c r="BO60" s="167"/>
      <c r="BP60" s="167" t="str">
        <f t="shared" si="15"/>
        <v/>
      </c>
      <c r="BQ60" s="167">
        <f t="shared" si="54"/>
        <v>9</v>
      </c>
      <c r="BR60" s="167">
        <f t="shared" si="55"/>
        <v>9</v>
      </c>
      <c r="BS60" s="167">
        <f t="shared" si="56"/>
        <v>9</v>
      </c>
      <c r="BV60" s="167"/>
      <c r="BW60" s="167"/>
      <c r="BX60" s="167"/>
      <c r="BY60" s="167"/>
      <c r="BZ60" s="167"/>
      <c r="CA60" s="167"/>
    </row>
    <row r="61" spans="1:84" x14ac:dyDescent="0.25">
      <c r="A61" s="96">
        <v>53</v>
      </c>
      <c r="B61" s="96" t="str">
        <f t="shared" si="119"/>
        <v>Hea 06b</v>
      </c>
      <c r="C61" s="163" t="s">
        <v>699</v>
      </c>
      <c r="D61" s="1122" t="s">
        <v>621</v>
      </c>
      <c r="E61" s="788">
        <v>1</v>
      </c>
      <c r="F61" s="788">
        <v>1</v>
      </c>
      <c r="G61" s="788">
        <v>1</v>
      </c>
      <c r="H61" s="788">
        <v>1</v>
      </c>
      <c r="I61" s="788">
        <v>1</v>
      </c>
      <c r="J61" s="788">
        <v>1</v>
      </c>
      <c r="K61" s="788">
        <v>1</v>
      </c>
      <c r="L61" s="788">
        <v>1</v>
      </c>
      <c r="M61" s="788">
        <v>1</v>
      </c>
      <c r="N61" s="788">
        <v>1</v>
      </c>
      <c r="O61" s="788">
        <v>1</v>
      </c>
      <c r="P61" s="788">
        <v>1</v>
      </c>
      <c r="Q61" s="788">
        <v>1</v>
      </c>
      <c r="R61" s="808"/>
      <c r="S61" s="212">
        <f t="shared" si="106"/>
        <v>1</v>
      </c>
      <c r="T61" s="166"/>
      <c r="U61" s="167"/>
      <c r="V61" s="167"/>
      <c r="W61" s="168"/>
      <c r="X61" s="169">
        <f>IF(OR($X$4=$X$5,$X$4=$X$6),S61,0)</f>
        <v>0</v>
      </c>
      <c r="Y61" s="1175">
        <f>VLOOKUP(B61,'Manuell filtrering og justering'!$A$7:$H$107,'Manuell filtrering og justering'!$H$1,FALSE)</f>
        <v>1</v>
      </c>
      <c r="Z61" s="169">
        <f t="shared" si="108"/>
        <v>0</v>
      </c>
      <c r="AA61" s="170">
        <f>IF($AB$5='Manuell filtrering og justering'!$J$2,Y61,(S61-Z61))</f>
        <v>1</v>
      </c>
      <c r="AC61" s="171">
        <f t="shared" si="68"/>
        <v>8.4210526315789472E-3</v>
      </c>
      <c r="AD61" s="171">
        <f t="shared" si="86"/>
        <v>0</v>
      </c>
      <c r="AE61" s="171">
        <f t="shared" si="87"/>
        <v>0</v>
      </c>
      <c r="AF61" s="171">
        <f t="shared" si="88"/>
        <v>0</v>
      </c>
      <c r="AH61" s="172">
        <f>IF(VLOOKUP(D61,'Pre-Assessment Estimator'!$E$11:$Z$224,'Pre-Assessment Estimator'!$G$2,FALSE)&gt;AA61,AA61,VLOOKUP(D61,'Pre-Assessment Estimator'!$E$11:$Z$224,'Pre-Assessment Estimator'!$G$2,FALSE))</f>
        <v>0</v>
      </c>
      <c r="AI61" s="172">
        <f>IF(VLOOKUP(D61,'Pre-Assessment Estimator'!$E$11:$Z$224,'Pre-Assessment Estimator'!$N$2,FALSE)&gt;AA61,AA61,VLOOKUP(D61,'Pre-Assessment Estimator'!$E$11:$Z$224,'Pre-Assessment Estimator'!$N$2,FALSE))</f>
        <v>0</v>
      </c>
      <c r="AJ61" s="172">
        <f>IF(VLOOKUP(D61,'Pre-Assessment Estimator'!$E$11:$Z$224,'Pre-Assessment Estimator'!$U$2,FALSE)&gt;AA61,AA61,VLOOKUP(D61,'Pre-Assessment Estimator'!$E$11:$Z$224,'Pre-Assessment Estimator'!$U$2,FALSE))</f>
        <v>0</v>
      </c>
      <c r="AL61" s="292"/>
      <c r="AM61" s="293"/>
      <c r="AN61" s="293"/>
      <c r="AO61" s="293"/>
      <c r="AP61" s="294"/>
      <c r="AR61" s="292"/>
      <c r="AS61" s="293"/>
      <c r="AT61" s="293"/>
      <c r="AU61" s="293"/>
      <c r="AV61" s="294"/>
      <c r="AX61" s="188"/>
      <c r="AY61" s="189"/>
      <c r="AZ61" s="189"/>
      <c r="BA61" s="189"/>
      <c r="BB61" s="190"/>
      <c r="BC61" s="695">
        <f t="shared" si="94"/>
        <v>9</v>
      </c>
      <c r="BD61" s="164" t="str">
        <f t="shared" si="70"/>
        <v>N/A</v>
      </c>
      <c r="BE61" s="185"/>
      <c r="BF61" s="182">
        <f t="shared" si="95"/>
        <v>9</v>
      </c>
      <c r="BG61" s="164" t="str">
        <f t="shared" si="72"/>
        <v>N/A</v>
      </c>
      <c r="BH61" s="185"/>
      <c r="BI61" s="182">
        <f t="shared" si="96"/>
        <v>9</v>
      </c>
      <c r="BJ61" s="164" t="str">
        <f t="shared" si="73"/>
        <v>N/A</v>
      </c>
      <c r="BK61" s="185"/>
      <c r="BN61" s="167"/>
      <c r="BO61" s="167"/>
      <c r="BP61" s="167" t="str">
        <f t="shared" si="15"/>
        <v/>
      </c>
      <c r="BQ61" s="167">
        <f t="shared" si="54"/>
        <v>9</v>
      </c>
      <c r="BR61" s="167">
        <f t="shared" si="55"/>
        <v>9</v>
      </c>
      <c r="BS61" s="167">
        <f t="shared" si="56"/>
        <v>9</v>
      </c>
      <c r="BV61" s="167"/>
      <c r="BW61" s="167"/>
      <c r="BX61" s="167"/>
      <c r="BY61" s="167"/>
      <c r="BZ61" s="167"/>
      <c r="CA61" s="167"/>
    </row>
    <row r="62" spans="1:84" x14ac:dyDescent="0.25">
      <c r="A62" s="96">
        <v>54</v>
      </c>
      <c r="C62" s="712" t="s">
        <v>125</v>
      </c>
      <c r="D62" s="711"/>
      <c r="E62" s="949"/>
      <c r="F62" s="949"/>
      <c r="G62" s="949"/>
      <c r="H62" s="949"/>
      <c r="I62" s="949"/>
      <c r="J62" s="949"/>
      <c r="K62" s="949"/>
      <c r="L62" s="949"/>
      <c r="M62" s="949"/>
      <c r="N62" s="949"/>
      <c r="O62" s="949"/>
      <c r="P62" s="949"/>
      <c r="Q62" s="949"/>
      <c r="S62" s="976"/>
      <c r="T62" s="712"/>
      <c r="U62" s="711"/>
      <c r="V62" s="711"/>
      <c r="W62" s="969"/>
      <c r="X62" s="970"/>
      <c r="Y62" s="1175"/>
      <c r="Z62" s="970"/>
      <c r="AA62" s="971"/>
      <c r="AC62" s="171">
        <f t="shared" si="68"/>
        <v>0</v>
      </c>
      <c r="AD62" s="974"/>
      <c r="AE62" s="974"/>
      <c r="AF62" s="974"/>
      <c r="AH62" s="731"/>
      <c r="AI62" s="731"/>
      <c r="AJ62" s="731"/>
      <c r="AL62" s="292"/>
      <c r="AM62" s="293"/>
      <c r="AN62" s="293"/>
      <c r="AO62" s="293"/>
      <c r="AP62" s="294"/>
      <c r="AR62" s="292"/>
      <c r="AS62" s="293"/>
      <c r="AT62" s="293"/>
      <c r="AU62" s="293"/>
      <c r="AV62" s="294"/>
      <c r="AX62" s="188"/>
      <c r="AY62" s="189"/>
      <c r="AZ62" s="189"/>
      <c r="BA62" s="189"/>
      <c r="BB62" s="190"/>
      <c r="BC62" s="695">
        <f t="shared" si="94"/>
        <v>9</v>
      </c>
      <c r="BD62" s="164" t="str">
        <f t="shared" si="70"/>
        <v>N/A</v>
      </c>
      <c r="BE62" s="185"/>
      <c r="BF62" s="182">
        <f t="shared" si="95"/>
        <v>9</v>
      </c>
      <c r="BG62" s="164" t="str">
        <f t="shared" si="72"/>
        <v>N/A</v>
      </c>
      <c r="BH62" s="185"/>
      <c r="BI62" s="182">
        <f t="shared" si="96"/>
        <v>9</v>
      </c>
      <c r="BJ62" s="164" t="str">
        <f t="shared" si="73"/>
        <v>N/A</v>
      </c>
      <c r="BK62" s="185"/>
      <c r="BN62" s="189"/>
      <c r="BO62" s="167"/>
      <c r="BP62" s="167" t="str">
        <f t="shared" si="15"/>
        <v/>
      </c>
      <c r="BQ62" s="167">
        <f t="shared" si="54"/>
        <v>9</v>
      </c>
      <c r="BR62" s="167">
        <f t="shared" si="55"/>
        <v>9</v>
      </c>
      <c r="BS62" s="167">
        <f t="shared" si="56"/>
        <v>9</v>
      </c>
      <c r="BV62" s="167" t="str">
        <f>C62</f>
        <v>Hea 07</v>
      </c>
      <c r="BW62" s="167" t="str">
        <f>IFERROR(VLOOKUP($D62,'Pre-Assessment Estimator'!$E$11:$AB$224,'Pre-Assessment Estimator'!AB$2,FALSE),"")</f>
        <v/>
      </c>
      <c r="BX62" s="167" t="str">
        <f>IFERROR(VLOOKUP($D62,'Pre-Assessment Estimator'!$E$11:$AI$224,'Pre-Assessment Estimator'!AI$2,FALSE),"")</f>
        <v/>
      </c>
      <c r="BY62" s="167" t="str">
        <f>IFERROR(VLOOKUP($BW62,$D$291:$G$324,E$289,FALSE),"")</f>
        <v/>
      </c>
      <c r="BZ62" s="167" t="str">
        <f>IFERROR(VLOOKUP($BW62,$D$291:$G$324,F$289,FALSE),"")</f>
        <v/>
      </c>
      <c r="CA62" s="167"/>
      <c r="CB62" s="96" t="str">
        <f>IFERROR(VLOOKUP($BW62,$D$291:$G$324,H$289,FALSE),"")</f>
        <v/>
      </c>
    </row>
    <row r="63" spans="1:84" x14ac:dyDescent="0.25">
      <c r="A63" s="96">
        <v>55</v>
      </c>
      <c r="B63" s="137" t="str">
        <f>C63</f>
        <v>Hea 08</v>
      </c>
      <c r="C63" s="847" t="s">
        <v>126</v>
      </c>
      <c r="D63" s="845" t="s">
        <v>118</v>
      </c>
      <c r="E63" s="947">
        <f t="shared" ref="E63:Q63" si="120">SUM(E64:E65)</f>
        <v>0</v>
      </c>
      <c r="F63" s="947">
        <f t="shared" si="120"/>
        <v>0</v>
      </c>
      <c r="G63" s="947">
        <f t="shared" si="120"/>
        <v>1</v>
      </c>
      <c r="H63" s="947">
        <f t="shared" si="120"/>
        <v>0</v>
      </c>
      <c r="I63" s="947">
        <f t="shared" si="120"/>
        <v>0</v>
      </c>
      <c r="J63" s="947">
        <f t="shared" si="120"/>
        <v>0</v>
      </c>
      <c r="K63" s="947">
        <f t="shared" si="120"/>
        <v>0</v>
      </c>
      <c r="L63" s="947">
        <f t="shared" si="120"/>
        <v>0</v>
      </c>
      <c r="M63" s="947">
        <f t="shared" si="120"/>
        <v>0</v>
      </c>
      <c r="N63" s="947">
        <f t="shared" si="120"/>
        <v>0</v>
      </c>
      <c r="O63" s="947">
        <f t="shared" si="120"/>
        <v>0</v>
      </c>
      <c r="P63" s="947">
        <f t="shared" ref="P63" si="121">SUM(P64:P65)</f>
        <v>0</v>
      </c>
      <c r="Q63" s="947">
        <f t="shared" si="120"/>
        <v>0</v>
      </c>
      <c r="S63" s="975">
        <f>HLOOKUP($D$6,$E$9:$Q$231,$A63,FALSE)</f>
        <v>0</v>
      </c>
      <c r="T63" s="222"/>
      <c r="U63" s="230"/>
      <c r="V63" s="230"/>
      <c r="W63" s="1113">
        <f>'Manuell filtrering og justering'!E24</f>
        <v>0</v>
      </c>
      <c r="X63" s="977"/>
      <c r="Y63" s="1195">
        <f t="shared" ref="Y63" si="122">SUM(Y64:Y65)</f>
        <v>1</v>
      </c>
      <c r="Z63" s="977">
        <f>IF(SUM(T63:X63)&gt;S63,S63,SUM(T63:X63))</f>
        <v>0</v>
      </c>
      <c r="AA63" s="1081">
        <f>SUM(AA64)</f>
        <v>0</v>
      </c>
      <c r="AC63" s="171">
        <f t="shared" si="68"/>
        <v>0</v>
      </c>
      <c r="AD63" s="935">
        <f>SUM(AD64)</f>
        <v>0</v>
      </c>
      <c r="AE63" s="935">
        <f t="shared" ref="AE63:AF63" si="123">SUM(AE64)</f>
        <v>0</v>
      </c>
      <c r="AF63" s="935">
        <f t="shared" si="123"/>
        <v>0</v>
      </c>
      <c r="AH63" s="972">
        <f t="shared" ref="AH63:AJ63" si="124">SUM(AH64:AH65)</f>
        <v>0</v>
      </c>
      <c r="AI63" s="972">
        <f t="shared" si="124"/>
        <v>0</v>
      </c>
      <c r="AJ63" s="972">
        <f t="shared" si="124"/>
        <v>0</v>
      </c>
      <c r="AL63" s="291"/>
      <c r="AM63" s="181"/>
      <c r="AN63" s="181"/>
      <c r="AO63" s="181"/>
      <c r="AP63" s="186"/>
      <c r="AR63" s="291"/>
      <c r="AS63" s="181"/>
      <c r="AT63" s="181"/>
      <c r="AU63" s="181"/>
      <c r="AV63" s="294"/>
      <c r="AX63" s="182"/>
      <c r="AY63" s="183"/>
      <c r="AZ63" s="183"/>
      <c r="BA63" s="183"/>
      <c r="BB63" s="187"/>
      <c r="BC63" s="695">
        <f t="shared" si="94"/>
        <v>9</v>
      </c>
      <c r="BD63" s="164" t="str">
        <f t="shared" si="70"/>
        <v>N/A</v>
      </c>
      <c r="BE63" s="185"/>
      <c r="BF63" s="182">
        <f t="shared" si="95"/>
        <v>9</v>
      </c>
      <c r="BG63" s="164" t="str">
        <f t="shared" si="72"/>
        <v>N/A</v>
      </c>
      <c r="BH63" s="185"/>
      <c r="BI63" s="182">
        <f t="shared" si="96"/>
        <v>9</v>
      </c>
      <c r="BJ63" s="164" t="str">
        <f t="shared" si="73"/>
        <v>N/A</v>
      </c>
      <c r="BK63" s="185"/>
      <c r="BN63" s="1160"/>
      <c r="BO63" s="167"/>
      <c r="BP63" s="167" t="str">
        <f t="shared" si="15"/>
        <v/>
      </c>
      <c r="BQ63" s="167">
        <f t="shared" si="54"/>
        <v>9</v>
      </c>
      <c r="BR63" s="167">
        <f t="shared" si="55"/>
        <v>9</v>
      </c>
      <c r="BS63" s="167">
        <f t="shared" si="56"/>
        <v>9</v>
      </c>
      <c r="BV63" s="167" t="str">
        <f>C63</f>
        <v>Hea 08</v>
      </c>
      <c r="BW63" s="167" t="str">
        <f>IFERROR(VLOOKUP($D63,'Pre-Assessment Estimator'!$E$11:$AB$224,'Pre-Assessment Estimator'!AB$2,FALSE),"")</f>
        <v>N/A</v>
      </c>
      <c r="BX63" s="167">
        <f>IFERROR(VLOOKUP($D63,'Pre-Assessment Estimator'!$E$11:$AI$224,'Pre-Assessment Estimator'!AI$2,FALSE),"")</f>
        <v>0</v>
      </c>
      <c r="BY63" s="167">
        <f>IFERROR(VLOOKUP($BW63,$D$291:$G$324,E$289,FALSE),"")</f>
        <v>1</v>
      </c>
      <c r="BZ63" s="167">
        <f>IFERROR(VLOOKUP($BW63,$D$291:$G$324,F$289,FALSE),"")</f>
        <v>0</v>
      </c>
      <c r="CA63" s="167"/>
      <c r="CB63" s="96" t="str">
        <f>IFERROR(VLOOKUP($BW63,$D$291:$G$324,H$289,FALSE),"")</f>
        <v/>
      </c>
    </row>
    <row r="64" spans="1:84" x14ac:dyDescent="0.25">
      <c r="A64" s="96">
        <v>56</v>
      </c>
      <c r="B64" s="96" t="str">
        <f>$C$63&amp;C64</f>
        <v>Hea 08a</v>
      </c>
      <c r="C64" s="192" t="s">
        <v>696</v>
      </c>
      <c r="D64" s="1122" t="s">
        <v>622</v>
      </c>
      <c r="E64" s="955">
        <v>0</v>
      </c>
      <c r="F64" s="955">
        <v>0</v>
      </c>
      <c r="G64" s="955">
        <v>1</v>
      </c>
      <c r="H64" s="955">
        <v>0</v>
      </c>
      <c r="I64" s="955">
        <v>0</v>
      </c>
      <c r="J64" s="955">
        <v>0</v>
      </c>
      <c r="K64" s="955">
        <v>0</v>
      </c>
      <c r="L64" s="955">
        <v>0</v>
      </c>
      <c r="M64" s="955">
        <v>0</v>
      </c>
      <c r="N64" s="955">
        <v>0</v>
      </c>
      <c r="O64" s="955">
        <v>0</v>
      </c>
      <c r="P64" s="955">
        <v>0</v>
      </c>
      <c r="Q64" s="955">
        <v>0</v>
      </c>
      <c r="S64" s="212">
        <f>HLOOKUP($D$6,$E$9:$Q$231,$A64,FALSE)</f>
        <v>0</v>
      </c>
      <c r="T64" s="166"/>
      <c r="U64" s="167"/>
      <c r="V64" s="167"/>
      <c r="W64" s="168"/>
      <c r="X64" s="169"/>
      <c r="Y64" s="1175">
        <f>VLOOKUP(B64,'Manuell filtrering og justering'!$A$7:$H$107,'Manuell filtrering og justering'!$H$1,FALSE)</f>
        <v>1</v>
      </c>
      <c r="Z64" s="169">
        <f>IF(SUM(T64:X64)&gt;S64,S64,SUM(T64:X64))</f>
        <v>0</v>
      </c>
      <c r="AA64" s="170">
        <f>IF($AB$5='Manuell filtrering og justering'!$J$2,Y64,(S64-Z64))</f>
        <v>0</v>
      </c>
      <c r="AC64" s="171">
        <f t="shared" si="68"/>
        <v>0</v>
      </c>
      <c r="AD64" s="171">
        <f t="shared" si="86"/>
        <v>0</v>
      </c>
      <c r="AE64" s="171">
        <f t="shared" si="87"/>
        <v>0</v>
      </c>
      <c r="AF64" s="171">
        <f t="shared" si="88"/>
        <v>0</v>
      </c>
      <c r="AH64" s="172">
        <f>IF(VLOOKUP(D64,'Pre-Assessment Estimator'!$E$11:$Z$224,'Pre-Assessment Estimator'!$G$2,FALSE)&gt;AA64,AA64,VLOOKUP(D64,'Pre-Assessment Estimator'!$E$11:$Z$224,'Pre-Assessment Estimator'!$G$2,FALSE))</f>
        <v>0</v>
      </c>
      <c r="AI64" s="172">
        <f>IF(VLOOKUP(D64,'Pre-Assessment Estimator'!$E$11:$Z$224,'Pre-Assessment Estimator'!$N$2,FALSE)&gt;AA64,AA64,VLOOKUP(D64,'Pre-Assessment Estimator'!$E$11:$Z$224,'Pre-Assessment Estimator'!$N$2,FALSE))</f>
        <v>0</v>
      </c>
      <c r="AJ64" s="172">
        <f>IF(VLOOKUP(D64,'Pre-Assessment Estimator'!$E$11:$Z$224,'Pre-Assessment Estimator'!$U$2,FALSE)&gt;AA64,AA64,VLOOKUP(D64,'Pre-Assessment Estimator'!$E$11:$Z$224,'Pre-Assessment Estimator'!$U$2,FALSE))</f>
        <v>0</v>
      </c>
      <c r="AL64" s="853"/>
      <c r="AM64" s="854"/>
      <c r="AN64" s="854"/>
      <c r="AO64" s="854"/>
      <c r="AP64" s="855"/>
      <c r="AR64" s="853"/>
      <c r="AS64" s="854"/>
      <c r="AT64" s="854"/>
      <c r="AU64" s="854"/>
      <c r="AV64" s="856"/>
      <c r="AX64" s="857"/>
      <c r="AY64" s="858"/>
      <c r="AZ64" s="858"/>
      <c r="BA64" s="858"/>
      <c r="BB64" s="859"/>
      <c r="BC64" s="695">
        <f t="shared" si="94"/>
        <v>9</v>
      </c>
      <c r="BD64" s="164" t="str">
        <f t="shared" si="70"/>
        <v>N/A</v>
      </c>
      <c r="BE64" s="185"/>
      <c r="BF64" s="182">
        <f t="shared" si="95"/>
        <v>9</v>
      </c>
      <c r="BG64" s="164" t="str">
        <f t="shared" si="72"/>
        <v>N/A</v>
      </c>
      <c r="BH64" s="185"/>
      <c r="BI64" s="182">
        <f t="shared" si="96"/>
        <v>9</v>
      </c>
      <c r="BJ64" s="164" t="str">
        <f t="shared" si="73"/>
        <v>N/A</v>
      </c>
      <c r="BK64" s="860"/>
      <c r="BN64" s="1160"/>
      <c r="BO64" s="167"/>
      <c r="BP64" s="167" t="str">
        <f t="shared" si="15"/>
        <v/>
      </c>
      <c r="BQ64" s="167">
        <f t="shared" si="54"/>
        <v>9</v>
      </c>
      <c r="BR64" s="167">
        <f t="shared" si="55"/>
        <v>9</v>
      </c>
      <c r="BS64" s="167">
        <f t="shared" si="56"/>
        <v>9</v>
      </c>
      <c r="BV64" s="193"/>
      <c r="BW64" s="193"/>
      <c r="BX64" s="193"/>
      <c r="BY64" s="193"/>
      <c r="BZ64" s="193"/>
      <c r="CA64" s="193"/>
    </row>
    <row r="65" spans="1:86" ht="15.75" thickBot="1" x14ac:dyDescent="0.3">
      <c r="A65" s="96">
        <v>57</v>
      </c>
      <c r="C65" s="714" t="s">
        <v>127</v>
      </c>
      <c r="D65" s="715"/>
      <c r="E65" s="950"/>
      <c r="F65" s="950"/>
      <c r="G65" s="950"/>
      <c r="H65" s="950"/>
      <c r="I65" s="950"/>
      <c r="J65" s="950"/>
      <c r="K65" s="950"/>
      <c r="L65" s="950"/>
      <c r="M65" s="950"/>
      <c r="N65" s="950"/>
      <c r="O65" s="950"/>
      <c r="P65" s="950"/>
      <c r="Q65" s="950"/>
      <c r="S65" s="976"/>
      <c r="T65" s="712"/>
      <c r="U65" s="711"/>
      <c r="V65" s="711"/>
      <c r="W65" s="969"/>
      <c r="X65" s="1197"/>
      <c r="Y65" s="1175"/>
      <c r="Z65" s="970"/>
      <c r="AA65" s="971"/>
      <c r="AC65" s="171">
        <f t="shared" si="68"/>
        <v>0</v>
      </c>
      <c r="AD65" s="974"/>
      <c r="AE65" s="974"/>
      <c r="AF65" s="974"/>
      <c r="AH65" s="731"/>
      <c r="AI65" s="731"/>
      <c r="AJ65" s="731"/>
      <c r="AL65" s="301"/>
      <c r="AM65" s="302"/>
      <c r="AN65" s="302"/>
      <c r="AO65" s="302"/>
      <c r="AP65" s="303"/>
      <c r="AR65" s="301"/>
      <c r="AS65" s="302"/>
      <c r="AT65" s="302"/>
      <c r="AU65" s="302"/>
      <c r="AV65" s="303"/>
      <c r="AX65" s="198"/>
      <c r="AY65" s="224"/>
      <c r="AZ65" s="224"/>
      <c r="BA65" s="224"/>
      <c r="BB65" s="225"/>
      <c r="BC65" s="198">
        <f t="shared" si="59"/>
        <v>9</v>
      </c>
      <c r="BD65" s="164" t="str">
        <f t="shared" si="70"/>
        <v>N/A</v>
      </c>
      <c r="BE65" s="200"/>
      <c r="BF65" s="198">
        <f t="shared" si="71"/>
        <v>9</v>
      </c>
      <c r="BG65" s="164" t="str">
        <f t="shared" si="72"/>
        <v>N/A</v>
      </c>
      <c r="BH65" s="200"/>
      <c r="BI65" s="198">
        <f t="shared" si="27"/>
        <v>9</v>
      </c>
      <c r="BJ65" s="164" t="str">
        <f t="shared" si="73"/>
        <v>N/A</v>
      </c>
      <c r="BK65" s="200"/>
      <c r="BN65" s="1161"/>
      <c r="BO65" s="167"/>
      <c r="BP65" s="167" t="str">
        <f t="shared" si="15"/>
        <v/>
      </c>
      <c r="BQ65" s="167">
        <f t="shared" si="54"/>
        <v>9</v>
      </c>
      <c r="BR65" s="167">
        <f t="shared" si="55"/>
        <v>9</v>
      </c>
      <c r="BS65" s="167">
        <f t="shared" si="56"/>
        <v>9</v>
      </c>
      <c r="BV65" s="193" t="str">
        <f>C65</f>
        <v>Hea 09</v>
      </c>
      <c r="BW65" s="193" t="str">
        <f>IFERROR(VLOOKUP($D65,'Pre-Assessment Estimator'!$E$11:$AB$224,'Pre-Assessment Estimator'!AB$2,FALSE),"")</f>
        <v/>
      </c>
      <c r="BX65" s="193" t="str">
        <f>IFERROR(VLOOKUP($D65,'Pre-Assessment Estimator'!$E$11:$AI$224,'Pre-Assessment Estimator'!AI$2,FALSE),"")</f>
        <v/>
      </c>
      <c r="BY65" s="193" t="str">
        <f t="shared" ref="BY65:BZ69" si="125">IFERROR(VLOOKUP($BW65,$D$291:$G$324,E$289,FALSE),"")</f>
        <v/>
      </c>
      <c r="BZ65" s="193" t="str">
        <f t="shared" si="125"/>
        <v/>
      </c>
      <c r="CA65" s="193"/>
      <c r="CB65" s="96" t="str">
        <f>IFERROR(VLOOKUP($BW65,$D$291:$G$324,H$289,FALSE),"")</f>
        <v/>
      </c>
    </row>
    <row r="66" spans="1:86" ht="15.75" thickBot="1" x14ac:dyDescent="0.3">
      <c r="A66" s="96">
        <v>58</v>
      </c>
      <c r="B66" s="96" t="s">
        <v>887</v>
      </c>
      <c r="C66" s="201"/>
      <c r="D66" s="202" t="s">
        <v>216</v>
      </c>
      <c r="E66" s="786">
        <f>E39+E46+E51+E56+E59+E63</f>
        <v>19</v>
      </c>
      <c r="F66" s="786">
        <f t="shared" ref="F66:Q66" si="126">F39+F46+F51+F56+F59+F63</f>
        <v>19</v>
      </c>
      <c r="G66" s="786">
        <f t="shared" si="126"/>
        <v>20</v>
      </c>
      <c r="H66" s="786">
        <f t="shared" si="126"/>
        <v>19</v>
      </c>
      <c r="I66" s="786">
        <f t="shared" si="126"/>
        <v>19</v>
      </c>
      <c r="J66" s="786">
        <f t="shared" si="126"/>
        <v>19</v>
      </c>
      <c r="K66" s="786">
        <f t="shared" si="126"/>
        <v>19</v>
      </c>
      <c r="L66" s="786">
        <f t="shared" si="126"/>
        <v>21</v>
      </c>
      <c r="M66" s="786">
        <f t="shared" si="126"/>
        <v>21</v>
      </c>
      <c r="N66" s="786">
        <f t="shared" si="126"/>
        <v>19</v>
      </c>
      <c r="O66" s="786">
        <f t="shared" si="126"/>
        <v>19</v>
      </c>
      <c r="P66" s="786">
        <f t="shared" ref="P66" si="127">P39+P46+P51+P56+P59+P63</f>
        <v>19</v>
      </c>
      <c r="Q66" s="786">
        <f t="shared" si="126"/>
        <v>19</v>
      </c>
      <c r="S66" s="226">
        <f>HLOOKUP($D$6,$E$9:$Q$231,$A66,FALSE)</f>
        <v>19</v>
      </c>
      <c r="T66" s="204"/>
      <c r="U66" s="205"/>
      <c r="V66" s="205"/>
      <c r="W66" s="205"/>
      <c r="X66" s="1196"/>
      <c r="Y66" s="206"/>
      <c r="Z66" s="786">
        <f t="shared" ref="Z66:AF66" si="128">Z39+Z46+Z51+Z56+Z59+Z63</f>
        <v>0</v>
      </c>
      <c r="AA66" s="786">
        <f t="shared" si="128"/>
        <v>19</v>
      </c>
      <c r="AC66" s="208">
        <f t="shared" si="128"/>
        <v>0.16000000000000003</v>
      </c>
      <c r="AD66" s="208">
        <f t="shared" si="128"/>
        <v>0</v>
      </c>
      <c r="AE66" s="208">
        <f t="shared" si="128"/>
        <v>0</v>
      </c>
      <c r="AF66" s="208">
        <f t="shared" si="128"/>
        <v>0</v>
      </c>
      <c r="AH66" s="78">
        <f t="shared" ref="AH66:AJ66" si="129">AH39+AH46+AH51+AH56+AH59+AH63</f>
        <v>0</v>
      </c>
      <c r="AI66" s="78">
        <f t="shared" si="129"/>
        <v>0</v>
      </c>
      <c r="AJ66" s="78">
        <f t="shared" si="129"/>
        <v>0</v>
      </c>
      <c r="AL66" s="139"/>
      <c r="AM66" s="139"/>
      <c r="AN66" s="139"/>
      <c r="AO66" s="139"/>
      <c r="AP66" s="139"/>
      <c r="AR66" s="139"/>
      <c r="AS66" s="139"/>
      <c r="AT66" s="139"/>
      <c r="AU66" s="139"/>
      <c r="AV66" s="139"/>
      <c r="AX66" s="97"/>
      <c r="AY66" s="209"/>
      <c r="AZ66" s="97"/>
      <c r="BA66" s="97"/>
      <c r="BB66" s="97"/>
      <c r="BV66" s="202"/>
      <c r="BW66" s="202" t="str">
        <f>IFERROR(VLOOKUP($D66,'Pre-Assessment Estimator'!$E$11:$AB$224,'Pre-Assessment Estimator'!AB$2,FALSE),"")</f>
        <v/>
      </c>
      <c r="BX66" s="202" t="str">
        <f>IFERROR(VLOOKUP($D66,'Pre-Assessment Estimator'!$E$11:$AI$224,'Pre-Assessment Estimator'!AI$2,FALSE),"")</f>
        <v/>
      </c>
      <c r="BY66" s="202" t="str">
        <f t="shared" si="125"/>
        <v/>
      </c>
      <c r="BZ66" s="202" t="str">
        <f t="shared" si="125"/>
        <v/>
      </c>
      <c r="CA66" s="202"/>
      <c r="CB66" s="96" t="str">
        <f>IFERROR(VLOOKUP($BW66,$D$291:$G$324,H$289,FALSE),"")</f>
        <v/>
      </c>
    </row>
    <row r="67" spans="1:86" ht="15.75" thickBot="1" x14ac:dyDescent="0.3">
      <c r="A67" s="96">
        <v>59</v>
      </c>
      <c r="AH67" s="3"/>
      <c r="AI67" s="3"/>
      <c r="AJ67" s="3"/>
      <c r="AL67" s="139"/>
      <c r="AM67" s="139"/>
      <c r="AN67" s="139"/>
      <c r="AO67" s="139"/>
      <c r="AP67" s="139"/>
      <c r="AR67" s="139"/>
      <c r="AS67" s="139"/>
      <c r="AT67" s="139"/>
      <c r="AU67" s="139"/>
      <c r="AV67" s="139"/>
      <c r="AX67" s="97"/>
      <c r="AY67" s="97"/>
      <c r="AZ67" s="97"/>
      <c r="BA67" s="97"/>
      <c r="BB67" s="97"/>
      <c r="BW67" s="96" t="str">
        <f>IFERROR(VLOOKUP($D67,'Pre-Assessment Estimator'!$E$11:$AB$224,'Pre-Assessment Estimator'!AB$2,FALSE),"")</f>
        <v/>
      </c>
      <c r="BX67" s="96" t="str">
        <f>IFERROR(VLOOKUP($D67,'Pre-Assessment Estimator'!$E$11:$AI$224,'Pre-Assessment Estimator'!AI$2,FALSE),"")</f>
        <v/>
      </c>
      <c r="BY67" s="96" t="str">
        <f t="shared" si="125"/>
        <v/>
      </c>
      <c r="BZ67" s="96" t="str">
        <f t="shared" si="125"/>
        <v/>
      </c>
      <c r="CB67" s="96" t="str">
        <f>IFERROR(VLOOKUP($BW67,$D$291:$G$324,H$289,FALSE),"")</f>
        <v/>
      </c>
    </row>
    <row r="68" spans="1:86" ht="60.75" thickBot="1" x14ac:dyDescent="0.3">
      <c r="A68" s="96">
        <v>60</v>
      </c>
      <c r="C68" s="145"/>
      <c r="D68" s="146" t="s">
        <v>68</v>
      </c>
      <c r="E68" s="778" t="str">
        <f>$E$9</f>
        <v>Office</v>
      </c>
      <c r="F68" s="778" t="str">
        <f>$F$9</f>
        <v>Retail</v>
      </c>
      <c r="G68" s="778" t="str">
        <f>$G$9</f>
        <v>Residential</v>
      </c>
      <c r="H68" s="778" t="str">
        <f>$H$9</f>
        <v>Industrial</v>
      </c>
      <c r="I68" s="778" t="str">
        <f>$I$9</f>
        <v>Healthcare</v>
      </c>
      <c r="J68" s="778" t="str">
        <f>$J$9</f>
        <v>Prison</v>
      </c>
      <c r="K68" s="778" t="str">
        <f>$K$9</f>
        <v>Law Court</v>
      </c>
      <c r="L68" s="778" t="str">
        <f>$L$9</f>
        <v>Residential institution (long term stay)</v>
      </c>
      <c r="M68" s="778" t="str">
        <f>$M$9</f>
        <v>Residential institution (short term stay)</v>
      </c>
      <c r="N68" s="778" t="str">
        <f>$N$9</f>
        <v>Non-residential institution</v>
      </c>
      <c r="O68" s="778" t="str">
        <f>$O$9</f>
        <v>Assembly and leisure</v>
      </c>
      <c r="P68" s="779" t="str">
        <f>$P$9</f>
        <v>Education</v>
      </c>
      <c r="Q68" s="779" t="str">
        <f>$Q$9</f>
        <v>Other</v>
      </c>
      <c r="S68" s="138" t="str">
        <f>$D$6</f>
        <v>Office</v>
      </c>
      <c r="T68" s="210"/>
      <c r="U68" s="211"/>
      <c r="V68" s="211"/>
      <c r="W68" s="211"/>
      <c r="X68" s="1182" t="s">
        <v>414</v>
      </c>
      <c r="Y68" s="347" t="s">
        <v>337</v>
      </c>
      <c r="Z68" s="150" t="s">
        <v>216</v>
      </c>
      <c r="AA68" s="59" t="s">
        <v>16</v>
      </c>
      <c r="AH68" s="42"/>
      <c r="AI68" s="60"/>
      <c r="AJ68" s="60"/>
      <c r="AL68" s="139"/>
      <c r="AM68" s="139"/>
      <c r="AN68" s="139"/>
      <c r="AO68" s="139"/>
      <c r="AP68" s="139"/>
      <c r="AR68" s="139"/>
      <c r="AS68" s="139"/>
      <c r="AT68" s="139"/>
      <c r="AU68" s="139"/>
      <c r="AV68" s="139"/>
      <c r="AX68" s="97"/>
      <c r="AY68" s="97"/>
      <c r="AZ68" s="97"/>
      <c r="BA68" s="97"/>
      <c r="BB68" s="97"/>
      <c r="BN68" s="60"/>
      <c r="BO68" s="60"/>
      <c r="BP68" s="60"/>
      <c r="BQ68" s="60"/>
      <c r="BR68" s="60"/>
      <c r="BS68" s="60"/>
      <c r="BV68" s="146"/>
      <c r="BW68" s="146" t="str">
        <f>D68</f>
        <v>Energy</v>
      </c>
      <c r="BX68" s="146">
        <f>IFERROR(VLOOKUP($D68,'Pre-Assessment Estimator'!$E$11:$AI$224,'Pre-Assessment Estimator'!AI$2,FALSE),"")</f>
        <v>0</v>
      </c>
      <c r="BY68" s="146" t="str">
        <f t="shared" si="125"/>
        <v/>
      </c>
      <c r="BZ68" s="146" t="str">
        <f t="shared" si="125"/>
        <v/>
      </c>
      <c r="CA68" s="146"/>
      <c r="CB68" s="96" t="str">
        <f>IFERROR(VLOOKUP($BW68,$D$291:$G$324,H$289,FALSE),"")</f>
        <v/>
      </c>
    </row>
    <row r="69" spans="1:86" x14ac:dyDescent="0.25">
      <c r="A69" s="96">
        <v>61</v>
      </c>
      <c r="B69" s="137" t="str">
        <f>C69</f>
        <v>Ene 01</v>
      </c>
      <c r="C69" s="846" t="s">
        <v>137</v>
      </c>
      <c r="D69" s="844" t="s">
        <v>130</v>
      </c>
      <c r="E69" s="947">
        <f t="shared" ref="E69:Q69" si="130">SUM(E70:E74)</f>
        <v>12</v>
      </c>
      <c r="F69" s="947">
        <f t="shared" si="130"/>
        <v>12</v>
      </c>
      <c r="G69" s="947">
        <f t="shared" si="130"/>
        <v>12</v>
      </c>
      <c r="H69" s="947">
        <f t="shared" si="130"/>
        <v>12</v>
      </c>
      <c r="I69" s="947">
        <f t="shared" si="130"/>
        <v>12</v>
      </c>
      <c r="J69" s="947">
        <f t="shared" si="130"/>
        <v>12</v>
      </c>
      <c r="K69" s="947">
        <f t="shared" si="130"/>
        <v>12</v>
      </c>
      <c r="L69" s="947">
        <f t="shared" si="130"/>
        <v>12</v>
      </c>
      <c r="M69" s="947">
        <f t="shared" si="130"/>
        <v>12</v>
      </c>
      <c r="N69" s="947">
        <f t="shared" si="130"/>
        <v>12</v>
      </c>
      <c r="O69" s="947">
        <f t="shared" si="130"/>
        <v>12</v>
      </c>
      <c r="P69" s="947">
        <f t="shared" ref="P69" si="131">SUM(P70:P74)</f>
        <v>12</v>
      </c>
      <c r="Q69" s="947">
        <f t="shared" si="130"/>
        <v>12</v>
      </c>
      <c r="S69" s="150">
        <f t="shared" ref="S69:S81" si="132">HLOOKUP($D$6,$E$9:$Q$231,$A69,FALSE)</f>
        <v>12</v>
      </c>
      <c r="T69" s="222"/>
      <c r="U69" s="230"/>
      <c r="V69" s="230"/>
      <c r="W69" s="230">
        <f>'Manuell filtrering og justering'!E29</f>
        <v>0</v>
      </c>
      <c r="X69" s="230"/>
      <c r="Y69" s="972">
        <f t="shared" ref="Y69:AA69" si="133">SUM(Y70:Y74)</f>
        <v>12</v>
      </c>
      <c r="Z69" s="977">
        <f t="shared" ref="Z69:Z79" si="134">IF(SUM(T69:X69)&gt;S69,S69,SUM(T69:X69))</f>
        <v>0</v>
      </c>
      <c r="AA69" s="1081">
        <f t="shared" si="133"/>
        <v>12</v>
      </c>
      <c r="AC69" s="171">
        <f t="shared" ref="AC69:AC96" si="135">(Ene_Weight/Ene_Credits)*AA69</f>
        <v>6.2222222222222234E-2</v>
      </c>
      <c r="AD69" s="935">
        <f>SUM(AD70:AD74)</f>
        <v>0</v>
      </c>
      <c r="AE69" s="935">
        <f t="shared" ref="AE69:AF69" si="136">SUM(AE70:AE74)</f>
        <v>0</v>
      </c>
      <c r="AF69" s="935">
        <f t="shared" si="136"/>
        <v>0</v>
      </c>
      <c r="AH69" s="972">
        <f t="shared" ref="AH69:AJ69" si="137">SUM(AH70:AH74)</f>
        <v>0</v>
      </c>
      <c r="AI69" s="972">
        <f t="shared" si="137"/>
        <v>0</v>
      </c>
      <c r="AJ69" s="972">
        <f t="shared" si="137"/>
        <v>0</v>
      </c>
      <c r="AL69" s="173"/>
      <c r="AM69" s="290"/>
      <c r="AN69" s="290"/>
      <c r="AO69" s="299"/>
      <c r="AP69" s="300"/>
      <c r="AR69" s="298"/>
      <c r="AS69" s="299"/>
      <c r="AT69" s="299"/>
      <c r="AU69" s="299"/>
      <c r="AV69" s="300"/>
      <c r="AX69" s="174"/>
      <c r="AY69" s="175"/>
      <c r="AZ69" s="175"/>
      <c r="BA69" s="175"/>
      <c r="BB69" s="228"/>
      <c r="BC69" s="174">
        <f t="shared" si="59"/>
        <v>9</v>
      </c>
      <c r="BD69" s="164" t="str">
        <f t="shared" ref="BD69:BD96" si="138">VLOOKUP(BC69,$BN$282:$BS$288,6,FALSE)</f>
        <v>N/A</v>
      </c>
      <c r="BE69" s="178"/>
      <c r="BF69" s="174">
        <f t="shared" ref="BF69:BF96" si="139">IF(BB69=0,9,IF(AI69&gt;=BB69,5,IF(AI69&gt;=BA69,4,IF(AI69&gt;=AZ69,3,IF(AI69&gt;=AY69,2,IF(AI69&lt;AX69,0,1))))))</f>
        <v>9</v>
      </c>
      <c r="BG69" s="164" t="str">
        <f t="shared" ref="BG69:BG96" si="140">VLOOKUP(BF69,$BN$282:$BS$288,6,FALSE)</f>
        <v>N/A</v>
      </c>
      <c r="BH69" s="178"/>
      <c r="BI69" s="174">
        <f t="shared" si="27"/>
        <v>9</v>
      </c>
      <c r="BJ69" s="164" t="str">
        <f t="shared" ref="BJ69:BJ96" si="141">VLOOKUP(BI69,$BN$282:$BS$288,6,FALSE)</f>
        <v>N/A</v>
      </c>
      <c r="BK69" s="178"/>
      <c r="BN69" s="167"/>
      <c r="BO69" s="167"/>
      <c r="BP69" s="167" t="str">
        <f t="shared" si="15"/>
        <v/>
      </c>
      <c r="BQ69" s="167">
        <f t="shared" si="54"/>
        <v>9</v>
      </c>
      <c r="BR69" s="167">
        <f t="shared" si="55"/>
        <v>9</v>
      </c>
      <c r="BS69" s="167">
        <f t="shared" si="56"/>
        <v>9</v>
      </c>
      <c r="BV69" s="164" t="str">
        <f>C69</f>
        <v>Ene 01</v>
      </c>
      <c r="BW69" s="164" t="str">
        <f>IFERROR(VLOOKUP($D69,'Pre-Assessment Estimator'!$E$11:$AB$224,'Pre-Assessment Estimator'!AB$2,FALSE),"")</f>
        <v>No</v>
      </c>
      <c r="BX69" s="164">
        <f>IFERROR(VLOOKUP($D69,'Pre-Assessment Estimator'!$E$11:$AI$224,'Pre-Assessment Estimator'!AI$2,FALSE),"")</f>
        <v>0</v>
      </c>
      <c r="BY69" s="164">
        <f t="shared" si="125"/>
        <v>1</v>
      </c>
      <c r="BZ69" s="164">
        <f t="shared" si="125"/>
        <v>0</v>
      </c>
      <c r="CA69" s="164"/>
      <c r="CB69" s="96" t="str">
        <f>IFERROR(VLOOKUP($BW69,$D$291:$G$324,H$289,FALSE),"")</f>
        <v/>
      </c>
    </row>
    <row r="70" spans="1:86" x14ac:dyDescent="0.25">
      <c r="A70" s="96">
        <v>62</v>
      </c>
      <c r="B70" s="96" t="str">
        <f t="shared" ref="B70:B74" si="142">$C$69&amp;C70</f>
        <v>Ene 01a</v>
      </c>
      <c r="C70" s="163" t="s">
        <v>696</v>
      </c>
      <c r="D70" s="931" t="s">
        <v>623</v>
      </c>
      <c r="E70" s="788">
        <v>2</v>
      </c>
      <c r="F70" s="788">
        <v>2</v>
      </c>
      <c r="G70" s="788">
        <v>2</v>
      </c>
      <c r="H70" s="788">
        <v>2</v>
      </c>
      <c r="I70" s="788">
        <v>2</v>
      </c>
      <c r="J70" s="788">
        <v>2</v>
      </c>
      <c r="K70" s="788">
        <v>2</v>
      </c>
      <c r="L70" s="788">
        <v>2</v>
      </c>
      <c r="M70" s="788">
        <v>2</v>
      </c>
      <c r="N70" s="788">
        <v>2</v>
      </c>
      <c r="O70" s="788">
        <v>2</v>
      </c>
      <c r="P70" s="788">
        <v>2</v>
      </c>
      <c r="Q70" s="788">
        <v>2</v>
      </c>
      <c r="S70" s="221">
        <f t="shared" si="132"/>
        <v>2</v>
      </c>
      <c r="T70" s="166"/>
      <c r="U70" s="167"/>
      <c r="V70" s="167"/>
      <c r="W70" s="167"/>
      <c r="X70" s="168"/>
      <c r="Y70" s="168">
        <f>VLOOKUP(B70,'Manuell filtrering og justering'!$A$7:$H$107,'Manuell filtrering og justering'!$H$1,FALSE)</f>
        <v>2</v>
      </c>
      <c r="Z70" s="169">
        <f t="shared" si="134"/>
        <v>0</v>
      </c>
      <c r="AA70" s="170">
        <f>IF($AB$5='Manuell filtrering og justering'!$J$2,Y70,(S70-Z70))</f>
        <v>2</v>
      </c>
      <c r="AC70" s="171">
        <f t="shared" si="135"/>
        <v>1.0370370370370372E-2</v>
      </c>
      <c r="AD70" s="171">
        <f t="shared" ref="AD70:AD96" si="143">IF(AA70=0,0,(AC70/AA70)*AH70)</f>
        <v>0</v>
      </c>
      <c r="AE70" s="171">
        <f t="shared" ref="AE70:AE96" si="144">IF(AA70=0,0,(AC70/AA70)*AI70)</f>
        <v>0</v>
      </c>
      <c r="AF70" s="171">
        <f t="shared" ref="AF70:AF96" si="145">IF(AA70=0,0,(AC70/AA70)*AJ70)</f>
        <v>0</v>
      </c>
      <c r="AH70" s="1082">
        <f>IF(AND(AH52=0,ADPT&lt;&gt;ADPT02),0,IF(VLOOKUP(D70,'Pre-Assessment Estimator'!$E$11:$Z$224,'Pre-Assessment Estimator'!$G$2,FALSE)&gt;AA70,AA70,VLOOKUP(D70,'Pre-Assessment Estimator'!$E$11:$Z$224,'Pre-Assessment Estimator'!$G$2,FALSE)))</f>
        <v>0</v>
      </c>
      <c r="AI70" s="1082">
        <f>IF(AND(AI52=0,ADPT&lt;&gt;ADPT02),0,IF(VLOOKUP(D70,'Pre-Assessment Estimator'!$E$11:$Z$224,'Pre-Assessment Estimator'!$N$2,FALSE)&gt;AA70,AA70,VLOOKUP(D70,'Pre-Assessment Estimator'!$E$11:$Z$224,'Pre-Assessment Estimator'!$N$2,FALSE)))</f>
        <v>0</v>
      </c>
      <c r="AJ70" s="1082">
        <f>IF(AND(AJ52=0,ADPT&lt;&gt;ADPT02),0,IF(VLOOKUP(D70,'Pre-Assessment Estimator'!$E$11:$Z$224,'Pre-Assessment Estimator'!$U$2,FALSE)&gt;AA70,AA70,VLOOKUP(D70,'Pre-Assessment Estimator'!$E$11:$Z$224,'Pre-Assessment Estimator'!$U$2,FALSE)))</f>
        <v>0</v>
      </c>
      <c r="AL70" s="839"/>
      <c r="AM70" s="840"/>
      <c r="AN70" s="840"/>
      <c r="AO70" s="849"/>
      <c r="AP70" s="850"/>
      <c r="AR70" s="848"/>
      <c r="AS70" s="849"/>
      <c r="AT70" s="849"/>
      <c r="AU70" s="849"/>
      <c r="AV70" s="850"/>
      <c r="AX70" s="841"/>
      <c r="AY70" s="842"/>
      <c r="AZ70" s="842"/>
      <c r="BA70" s="842"/>
      <c r="BB70" s="861"/>
      <c r="BC70" s="182">
        <f t="shared" ref="BC70:BC74" si="146">IF(BB70=0,9,IF((AH70-CF70)&gt;=BB70,5,IF((AH70-CF70)&gt;=BA70,4,IF((AH70-CF70)&gt;=AZ70,3,IF((AH70-CF70)&gt;=AY70,2,IF((AH70-CF70)&lt;AX70,0,1))))))</f>
        <v>9</v>
      </c>
      <c r="BD70" s="164" t="str">
        <f t="shared" si="138"/>
        <v>N/A</v>
      </c>
      <c r="BE70" s="185"/>
      <c r="BF70" s="182">
        <f t="shared" ref="BF70:BF74" si="147">IF(BB70=0,9,IF((AI70-CF70)&gt;=BB70,5,IF((AI70-CF70)&gt;=BA70,4,IF((AI70-CF70)&gt;=AZ70,3,IF((AI70-CF70)&gt;=AY70,2,IF((AI70-CF70)&lt;AX70,0,1))))))</f>
        <v>9</v>
      </c>
      <c r="BG70" s="164" t="str">
        <f t="shared" si="140"/>
        <v>N/A</v>
      </c>
      <c r="BH70" s="185"/>
      <c r="BI70" s="182">
        <f t="shared" ref="BI70:BI74" si="148">IF(BB70=0,9,IF((AJ70-CF70)&gt;=BB70,5,IF((AJ70-CF70)&gt;=BA70,4,IF((AJ70-CF70)&gt;=AZ70,3,IF((AJ70-CF70)&gt;=AY70,2,IF((AJ70-CF70)&lt;AX70,0,1))))))</f>
        <v>9</v>
      </c>
      <c r="BJ70" s="164" t="str">
        <f t="shared" si="141"/>
        <v>N/A</v>
      </c>
      <c r="BK70" s="843"/>
      <c r="BN70" s="167"/>
      <c r="BO70" s="167"/>
      <c r="BP70" s="167" t="str">
        <f t="shared" si="15"/>
        <v/>
      </c>
      <c r="BQ70" s="167">
        <f t="shared" si="54"/>
        <v>9</v>
      </c>
      <c r="BR70" s="167">
        <f t="shared" si="55"/>
        <v>9</v>
      </c>
      <c r="BS70" s="167">
        <f t="shared" si="56"/>
        <v>9</v>
      </c>
      <c r="BV70" s="164"/>
      <c r="BW70" s="164"/>
      <c r="BX70" s="164"/>
      <c r="BY70" s="164"/>
      <c r="BZ70" s="164"/>
      <c r="CA70" s="164"/>
    </row>
    <row r="71" spans="1:86" x14ac:dyDescent="0.25">
      <c r="A71" s="96">
        <v>63</v>
      </c>
      <c r="B71" s="96" t="str">
        <f t="shared" si="142"/>
        <v>Ene 01b</v>
      </c>
      <c r="C71" s="163" t="s">
        <v>699</v>
      </c>
      <c r="D71" s="1122" t="s">
        <v>624</v>
      </c>
      <c r="E71" s="788">
        <v>1</v>
      </c>
      <c r="F71" s="788">
        <v>1</v>
      </c>
      <c r="G71" s="788">
        <v>1</v>
      </c>
      <c r="H71" s="788">
        <v>1</v>
      </c>
      <c r="I71" s="788">
        <v>1</v>
      </c>
      <c r="J71" s="788">
        <v>1</v>
      </c>
      <c r="K71" s="788">
        <v>1</v>
      </c>
      <c r="L71" s="788">
        <v>1</v>
      </c>
      <c r="M71" s="788">
        <v>1</v>
      </c>
      <c r="N71" s="788">
        <v>1</v>
      </c>
      <c r="O71" s="788">
        <v>1</v>
      </c>
      <c r="P71" s="788">
        <v>1</v>
      </c>
      <c r="Q71" s="788">
        <v>1</v>
      </c>
      <c r="S71" s="221">
        <f t="shared" si="132"/>
        <v>1</v>
      </c>
      <c r="T71" s="166"/>
      <c r="U71" s="167"/>
      <c r="V71" s="167"/>
      <c r="W71" s="167"/>
      <c r="X71" s="168"/>
      <c r="Y71" s="168">
        <f>VLOOKUP(B71,'Manuell filtrering og justering'!$A$7:$H$107,'Manuell filtrering og justering'!$H$1,FALSE)</f>
        <v>1</v>
      </c>
      <c r="Z71" s="169">
        <f t="shared" si="134"/>
        <v>0</v>
      </c>
      <c r="AA71" s="170">
        <f>IF($AB$5='Manuell filtrering og justering'!$J$2,Y71,(S71-Z71))</f>
        <v>1</v>
      </c>
      <c r="AC71" s="171">
        <f t="shared" si="135"/>
        <v>5.1851851851851859E-3</v>
      </c>
      <c r="AD71" s="171">
        <f t="shared" si="143"/>
        <v>0</v>
      </c>
      <c r="AE71" s="171">
        <f t="shared" si="144"/>
        <v>0</v>
      </c>
      <c r="AF71" s="171">
        <f t="shared" si="145"/>
        <v>0</v>
      </c>
      <c r="AH71" s="172">
        <f>IF(VLOOKUP(D71,'Pre-Assessment Estimator'!$E$11:$Z$224,'Pre-Assessment Estimator'!$G$2,FALSE)&gt;AA71,AA71,VLOOKUP(D71,'Pre-Assessment Estimator'!$E$11:$Z$224,'Pre-Assessment Estimator'!$G$2,FALSE))</f>
        <v>0</v>
      </c>
      <c r="AI71" s="172">
        <f>IF(VLOOKUP(D71,'Pre-Assessment Estimator'!$E$11:$Z$224,'Pre-Assessment Estimator'!$N$2,FALSE)&gt;AA71,AA71,VLOOKUP(D71,'Pre-Assessment Estimator'!$E$11:$Z$224,'Pre-Assessment Estimator'!$N$2,FALSE))</f>
        <v>0</v>
      </c>
      <c r="AJ71" s="172">
        <f>IF(VLOOKUP(D71,'Pre-Assessment Estimator'!$E$11:$Z$224,'Pre-Assessment Estimator'!$U$2,FALSE)&gt;AA71,AA71,VLOOKUP(D71,'Pre-Assessment Estimator'!$E$11:$Z$224,'Pre-Assessment Estimator'!$U$2,FALSE))</f>
        <v>0</v>
      </c>
      <c r="AL71" s="839"/>
      <c r="AM71" s="840"/>
      <c r="AN71" s="840"/>
      <c r="AO71" s="849"/>
      <c r="AP71" s="850"/>
      <c r="AR71" s="848"/>
      <c r="AS71" s="849"/>
      <c r="AT71" s="849"/>
      <c r="AU71" s="849"/>
      <c r="AV71" s="850"/>
      <c r="AX71" s="841"/>
      <c r="AY71" s="842"/>
      <c r="AZ71" s="842"/>
      <c r="BA71" s="842"/>
      <c r="BB71" s="861"/>
      <c r="BC71" s="182">
        <f t="shared" si="146"/>
        <v>9</v>
      </c>
      <c r="BD71" s="164" t="str">
        <f t="shared" si="138"/>
        <v>N/A</v>
      </c>
      <c r="BE71" s="185"/>
      <c r="BF71" s="182">
        <f t="shared" si="147"/>
        <v>9</v>
      </c>
      <c r="BG71" s="164" t="str">
        <f t="shared" si="140"/>
        <v>N/A</v>
      </c>
      <c r="BH71" s="185"/>
      <c r="BI71" s="182">
        <f t="shared" si="148"/>
        <v>9</v>
      </c>
      <c r="BJ71" s="164" t="str">
        <f t="shared" si="141"/>
        <v>N/A</v>
      </c>
      <c r="BK71" s="843"/>
      <c r="BN71" s="167"/>
      <c r="BO71" s="167"/>
      <c r="BP71" s="167" t="str">
        <f t="shared" si="15"/>
        <v/>
      </c>
      <c r="BQ71" s="167">
        <f t="shared" si="54"/>
        <v>9</v>
      </c>
      <c r="BR71" s="167">
        <f t="shared" si="55"/>
        <v>9</v>
      </c>
      <c r="BS71" s="167">
        <f t="shared" si="56"/>
        <v>9</v>
      </c>
      <c r="BV71" s="164"/>
      <c r="BW71" s="164"/>
      <c r="BX71" s="164"/>
      <c r="BY71" s="164"/>
      <c r="BZ71" s="164"/>
      <c r="CA71" s="164"/>
    </row>
    <row r="72" spans="1:86" x14ac:dyDescent="0.25">
      <c r="A72" s="96">
        <v>64</v>
      </c>
      <c r="B72" s="96" t="str">
        <f t="shared" si="142"/>
        <v>Ene 01c</v>
      </c>
      <c r="C72" s="163" t="s">
        <v>700</v>
      </c>
      <c r="D72" s="1122" t="s">
        <v>625</v>
      </c>
      <c r="E72" s="788">
        <v>4</v>
      </c>
      <c r="F72" s="788">
        <v>4</v>
      </c>
      <c r="G72" s="788">
        <v>4</v>
      </c>
      <c r="H72" s="788">
        <v>4</v>
      </c>
      <c r="I72" s="788">
        <v>4</v>
      </c>
      <c r="J72" s="788">
        <v>4</v>
      </c>
      <c r="K72" s="788">
        <v>4</v>
      </c>
      <c r="L72" s="788">
        <v>4</v>
      </c>
      <c r="M72" s="788">
        <v>4</v>
      </c>
      <c r="N72" s="788">
        <v>4</v>
      </c>
      <c r="O72" s="788">
        <v>4</v>
      </c>
      <c r="P72" s="788">
        <v>4</v>
      </c>
      <c r="Q72" s="788">
        <v>4</v>
      </c>
      <c r="S72" s="221">
        <f t="shared" si="132"/>
        <v>4</v>
      </c>
      <c r="T72" s="166"/>
      <c r="U72" s="167"/>
      <c r="V72" s="167"/>
      <c r="W72" s="167"/>
      <c r="X72" s="168"/>
      <c r="Y72" s="168">
        <f>VLOOKUP(B72,'Manuell filtrering og justering'!$A$7:$H$107,'Manuell filtrering og justering'!$H$1,FALSE)</f>
        <v>4</v>
      </c>
      <c r="Z72" s="169">
        <f t="shared" si="134"/>
        <v>0</v>
      </c>
      <c r="AA72" s="170">
        <f>IF($AB$5='Manuell filtrering og justering'!$J$2,Y72,(S72-Z72))</f>
        <v>4</v>
      </c>
      <c r="AC72" s="171">
        <f t="shared" si="135"/>
        <v>2.0740740740740744E-2</v>
      </c>
      <c r="AD72" s="171">
        <f t="shared" si="143"/>
        <v>0</v>
      </c>
      <c r="AE72" s="171">
        <f t="shared" si="144"/>
        <v>0</v>
      </c>
      <c r="AF72" s="171">
        <f t="shared" si="145"/>
        <v>0</v>
      </c>
      <c r="AH72" s="172">
        <f>IF(VLOOKUP(D72,'Pre-Assessment Estimator'!$E$11:$Z$224,'Pre-Assessment Estimator'!$G$2,FALSE)&gt;AA72,AA72,VLOOKUP(D72,'Pre-Assessment Estimator'!$E$11:$Z$224,'Pre-Assessment Estimator'!$G$2,FALSE))</f>
        <v>0</v>
      </c>
      <c r="AI72" s="172">
        <f>IF(VLOOKUP(D72,'Pre-Assessment Estimator'!$E$11:$Z$224,'Pre-Assessment Estimator'!$N$2,FALSE)&gt;AA72,AA72,VLOOKUP(D72,'Pre-Assessment Estimator'!$E$11:$Z$224,'Pre-Assessment Estimator'!$N$2,FALSE))</f>
        <v>0</v>
      </c>
      <c r="AJ72" s="172">
        <f>IF(VLOOKUP(D72,'Pre-Assessment Estimator'!$E$11:$Z$224,'Pre-Assessment Estimator'!$U$2,FALSE)&gt;AA72,AA72,VLOOKUP(D72,'Pre-Assessment Estimator'!$E$11:$Z$224,'Pre-Assessment Estimator'!$U$2,FALSE))</f>
        <v>0</v>
      </c>
      <c r="AL72" s="839"/>
      <c r="AM72" s="840"/>
      <c r="AN72" s="840"/>
      <c r="AO72" s="849">
        <v>1</v>
      </c>
      <c r="AP72" s="850">
        <v>1</v>
      </c>
      <c r="AR72" s="848"/>
      <c r="AS72" s="849"/>
      <c r="AT72" s="849"/>
      <c r="AU72" s="849">
        <v>1</v>
      </c>
      <c r="AV72" s="850">
        <v>1</v>
      </c>
      <c r="AX72" s="841"/>
      <c r="AY72" s="842"/>
      <c r="AZ72" s="842"/>
      <c r="BA72" s="183">
        <f t="shared" ref="BA72" si="149">IF($D$6=$G$9,AU72,AO72)</f>
        <v>1</v>
      </c>
      <c r="BB72" s="187">
        <f>IF($D$6=$G$9,AV72,AP72)</f>
        <v>1</v>
      </c>
      <c r="BC72" s="182">
        <f t="shared" si="146"/>
        <v>3</v>
      </c>
      <c r="BD72" s="164" t="str">
        <f t="shared" si="138"/>
        <v>Very Good</v>
      </c>
      <c r="BE72" s="185"/>
      <c r="BF72" s="182">
        <f t="shared" si="147"/>
        <v>3</v>
      </c>
      <c r="BG72" s="164" t="str">
        <f t="shared" si="140"/>
        <v>Very Good</v>
      </c>
      <c r="BH72" s="185"/>
      <c r="BI72" s="182">
        <f t="shared" si="148"/>
        <v>3</v>
      </c>
      <c r="BJ72" s="164" t="str">
        <f t="shared" si="141"/>
        <v>Very Good</v>
      </c>
      <c r="BK72" s="843"/>
      <c r="BN72" s="167"/>
      <c r="BO72" s="167">
        <v>1</v>
      </c>
      <c r="BP72" s="167">
        <f t="shared" si="15"/>
        <v>1</v>
      </c>
      <c r="BQ72" s="167">
        <f t="shared" si="54"/>
        <v>0</v>
      </c>
      <c r="BR72" s="167">
        <f t="shared" si="55"/>
        <v>0</v>
      </c>
      <c r="BS72" s="167">
        <f t="shared" si="56"/>
        <v>0</v>
      </c>
      <c r="BV72" s="164"/>
      <c r="BW72" s="164"/>
      <c r="BX72" s="164"/>
      <c r="BY72" s="164"/>
      <c r="BZ72" s="164"/>
      <c r="CA72" s="164"/>
    </row>
    <row r="73" spans="1:86" x14ac:dyDescent="0.25">
      <c r="A73" s="96">
        <v>65</v>
      </c>
      <c r="B73" s="96" t="str">
        <f t="shared" si="142"/>
        <v>Ene 01d</v>
      </c>
      <c r="C73" s="163" t="s">
        <v>698</v>
      </c>
      <c r="D73" s="1122" t="s">
        <v>626</v>
      </c>
      <c r="E73" s="788">
        <v>1</v>
      </c>
      <c r="F73" s="788">
        <v>1</v>
      </c>
      <c r="G73" s="788">
        <v>1</v>
      </c>
      <c r="H73" s="788">
        <v>1</v>
      </c>
      <c r="I73" s="788">
        <v>1</v>
      </c>
      <c r="J73" s="788">
        <v>1</v>
      </c>
      <c r="K73" s="788">
        <v>1</v>
      </c>
      <c r="L73" s="788">
        <v>1</v>
      </c>
      <c r="M73" s="788">
        <v>1</v>
      </c>
      <c r="N73" s="788">
        <v>1</v>
      </c>
      <c r="O73" s="788">
        <v>1</v>
      </c>
      <c r="P73" s="788">
        <v>1</v>
      </c>
      <c r="Q73" s="788">
        <v>1</v>
      </c>
      <c r="S73" s="221">
        <f t="shared" si="132"/>
        <v>1</v>
      </c>
      <c r="T73" s="166"/>
      <c r="U73" s="167"/>
      <c r="V73" s="167"/>
      <c r="W73" s="167"/>
      <c r="X73" s="168"/>
      <c r="Y73" s="168">
        <f>VLOOKUP(B73,'Manuell filtrering og justering'!$A$7:$H$107,'Manuell filtrering og justering'!$H$1,FALSE)</f>
        <v>1</v>
      </c>
      <c r="Z73" s="169">
        <f t="shared" si="134"/>
        <v>0</v>
      </c>
      <c r="AA73" s="170">
        <f>IF($AB$5='Manuell filtrering og justering'!$J$2,Y73,(S73-Z73))</f>
        <v>1</v>
      </c>
      <c r="AC73" s="171">
        <f t="shared" si="135"/>
        <v>5.1851851851851859E-3</v>
      </c>
      <c r="AD73" s="171">
        <f t="shared" si="143"/>
        <v>0</v>
      </c>
      <c r="AE73" s="171">
        <f t="shared" si="144"/>
        <v>0</v>
      </c>
      <c r="AF73" s="171">
        <f t="shared" si="145"/>
        <v>0</v>
      </c>
      <c r="AH73" s="172">
        <f>IF(VLOOKUP(D73,'Pre-Assessment Estimator'!$E$11:$Z$224,'Pre-Assessment Estimator'!$G$2,FALSE)&gt;AA73,AA73,VLOOKUP(D73,'Pre-Assessment Estimator'!$E$11:$Z$224,'Pre-Assessment Estimator'!$G$2,FALSE))</f>
        <v>0</v>
      </c>
      <c r="AI73" s="172">
        <f>IF(VLOOKUP(D73,'Pre-Assessment Estimator'!$E$11:$Z$224,'Pre-Assessment Estimator'!$N$2,FALSE)&gt;AA73,AA73,VLOOKUP(D73,'Pre-Assessment Estimator'!$E$11:$Z$224,'Pre-Assessment Estimator'!$N$2,FALSE))</f>
        <v>0</v>
      </c>
      <c r="AJ73" s="172">
        <f>IF(VLOOKUP(D73,'Pre-Assessment Estimator'!$E$11:$Z$224,'Pre-Assessment Estimator'!$U$2,FALSE)&gt;AA73,AA73,VLOOKUP(D73,'Pre-Assessment Estimator'!$E$11:$Z$224,'Pre-Assessment Estimator'!$U$2,FALSE))</f>
        <v>0</v>
      </c>
      <c r="AL73" s="839"/>
      <c r="AM73" s="840"/>
      <c r="AN73" s="840"/>
      <c r="AO73" s="849">
        <v>1</v>
      </c>
      <c r="AP73" s="850">
        <v>1</v>
      </c>
      <c r="AR73" s="848"/>
      <c r="AS73" s="849"/>
      <c r="AT73" s="849"/>
      <c r="AU73" s="849">
        <v>1</v>
      </c>
      <c r="AV73" s="850">
        <v>1</v>
      </c>
      <c r="AX73" s="841"/>
      <c r="AY73" s="842"/>
      <c r="AZ73" s="842"/>
      <c r="BA73" s="183">
        <f t="shared" ref="BA73" si="150">IF($D$6=$G$9,AU73,AO73)</f>
        <v>1</v>
      </c>
      <c r="BB73" s="187">
        <f>IF($D$6=$G$9,AV73,AP73)</f>
        <v>1</v>
      </c>
      <c r="BC73" s="182">
        <f t="shared" si="146"/>
        <v>3</v>
      </c>
      <c r="BD73" s="164" t="str">
        <f t="shared" si="138"/>
        <v>Very Good</v>
      </c>
      <c r="BE73" s="185"/>
      <c r="BF73" s="182">
        <f t="shared" si="147"/>
        <v>3</v>
      </c>
      <c r="BG73" s="164" t="str">
        <f t="shared" si="140"/>
        <v>Very Good</v>
      </c>
      <c r="BH73" s="185"/>
      <c r="BI73" s="182">
        <f t="shared" si="148"/>
        <v>3</v>
      </c>
      <c r="BJ73" s="164" t="str">
        <f t="shared" si="141"/>
        <v>Very Good</v>
      </c>
      <c r="BK73" s="843"/>
      <c r="BN73" s="167">
        <v>1</v>
      </c>
      <c r="BO73" s="167"/>
      <c r="BP73" s="167">
        <f t="shared" si="15"/>
        <v>1</v>
      </c>
      <c r="BQ73" s="167">
        <f t="shared" si="54"/>
        <v>0</v>
      </c>
      <c r="BR73" s="167">
        <f t="shared" si="55"/>
        <v>0</v>
      </c>
      <c r="BS73" s="167">
        <f t="shared" si="56"/>
        <v>0</v>
      </c>
      <c r="BV73" s="164"/>
      <c r="BW73" s="164"/>
      <c r="BX73" s="164"/>
      <c r="BY73" s="164"/>
      <c r="BZ73" s="164"/>
      <c r="CA73" s="164"/>
    </row>
    <row r="74" spans="1:86" x14ac:dyDescent="0.25">
      <c r="A74" s="96">
        <v>66</v>
      </c>
      <c r="B74" s="96" t="str">
        <f t="shared" si="142"/>
        <v>Ene 01e</v>
      </c>
      <c r="C74" s="163" t="s">
        <v>697</v>
      </c>
      <c r="D74" s="1122" t="s">
        <v>627</v>
      </c>
      <c r="E74" s="788">
        <v>4</v>
      </c>
      <c r="F74" s="788">
        <v>4</v>
      </c>
      <c r="G74" s="788">
        <v>4</v>
      </c>
      <c r="H74" s="788">
        <v>4</v>
      </c>
      <c r="I74" s="788">
        <v>4</v>
      </c>
      <c r="J74" s="788">
        <v>4</v>
      </c>
      <c r="K74" s="788">
        <v>4</v>
      </c>
      <c r="L74" s="788">
        <v>4</v>
      </c>
      <c r="M74" s="788">
        <v>4</v>
      </c>
      <c r="N74" s="788">
        <v>4</v>
      </c>
      <c r="O74" s="788">
        <v>4</v>
      </c>
      <c r="P74" s="788">
        <v>4</v>
      </c>
      <c r="Q74" s="788">
        <v>4</v>
      </c>
      <c r="S74" s="221">
        <f t="shared" si="132"/>
        <v>4</v>
      </c>
      <c r="T74" s="166"/>
      <c r="U74" s="167"/>
      <c r="V74" s="167"/>
      <c r="W74" s="167"/>
      <c r="X74" s="169">
        <f>IF($X$4=$X$6,S74,0)</f>
        <v>0</v>
      </c>
      <c r="Y74" s="168">
        <f>VLOOKUP(B74,'Manuell filtrering og justering'!$A$7:$H$107,'Manuell filtrering og justering'!$H$1,FALSE)</f>
        <v>4</v>
      </c>
      <c r="Z74" s="169">
        <f t="shared" si="134"/>
        <v>0</v>
      </c>
      <c r="AA74" s="170">
        <f>IF($AB$5='Manuell filtrering og justering'!$J$2,Y74,(S74-Z74))</f>
        <v>4</v>
      </c>
      <c r="AC74" s="171">
        <f t="shared" si="135"/>
        <v>2.0740740740740744E-2</v>
      </c>
      <c r="AD74" s="171">
        <f t="shared" si="143"/>
        <v>0</v>
      </c>
      <c r="AE74" s="171">
        <f t="shared" si="144"/>
        <v>0</v>
      </c>
      <c r="AF74" s="171">
        <f t="shared" si="145"/>
        <v>0</v>
      </c>
      <c r="AH74" s="172">
        <f>IF(VLOOKUP(D74,'Pre-Assessment Estimator'!$E$11:$Z$224,'Pre-Assessment Estimator'!$G$2,FALSE)&gt;AA74,AA74,VLOOKUP(D74,'Pre-Assessment Estimator'!$E$11:$Z$224,'Pre-Assessment Estimator'!$G$2,FALSE))</f>
        <v>0</v>
      </c>
      <c r="AI74" s="172">
        <f>IF(VLOOKUP(D74,'Pre-Assessment Estimator'!$E$11:$Z$224,'Pre-Assessment Estimator'!$N$2,FALSE)&gt;AA74,AA74,VLOOKUP(D74,'Pre-Assessment Estimator'!$E$11:$Z$224,'Pre-Assessment Estimator'!$N$2,FALSE))</f>
        <v>0</v>
      </c>
      <c r="AJ74" s="172">
        <f>IF(VLOOKUP(D74,'Pre-Assessment Estimator'!$E$11:$Z$224,'Pre-Assessment Estimator'!$U$2,FALSE)&gt;AA74,AA74,VLOOKUP(D74,'Pre-Assessment Estimator'!$E$11:$Z$224,'Pre-Assessment Estimator'!$U$2,FALSE))</f>
        <v>0</v>
      </c>
      <c r="AL74" s="839"/>
      <c r="AM74" s="840"/>
      <c r="AN74" s="840"/>
      <c r="AO74" s="849"/>
      <c r="AP74" s="850"/>
      <c r="AR74" s="848"/>
      <c r="AS74" s="849"/>
      <c r="AT74" s="849"/>
      <c r="AU74" s="849"/>
      <c r="AV74" s="850"/>
      <c r="AX74" s="841"/>
      <c r="AY74" s="842"/>
      <c r="AZ74" s="842"/>
      <c r="BA74" s="842"/>
      <c r="BB74" s="861"/>
      <c r="BC74" s="182">
        <f t="shared" si="146"/>
        <v>9</v>
      </c>
      <c r="BD74" s="164" t="str">
        <f t="shared" si="138"/>
        <v>N/A</v>
      </c>
      <c r="BE74" s="185"/>
      <c r="BF74" s="182">
        <f t="shared" si="147"/>
        <v>9</v>
      </c>
      <c r="BG74" s="164" t="str">
        <f t="shared" si="140"/>
        <v>N/A</v>
      </c>
      <c r="BH74" s="185"/>
      <c r="BI74" s="182">
        <f t="shared" si="148"/>
        <v>9</v>
      </c>
      <c r="BJ74" s="164" t="str">
        <f t="shared" si="141"/>
        <v>N/A</v>
      </c>
      <c r="BK74" s="843"/>
      <c r="BN74" s="167"/>
      <c r="BO74" s="167"/>
      <c r="BP74" s="167" t="str">
        <f t="shared" si="15"/>
        <v/>
      </c>
      <c r="BQ74" s="167">
        <f t="shared" si="54"/>
        <v>9</v>
      </c>
      <c r="BR74" s="167">
        <f t="shared" si="55"/>
        <v>9</v>
      </c>
      <c r="BS74" s="167">
        <f t="shared" si="56"/>
        <v>9</v>
      </c>
      <c r="BV74" s="164"/>
      <c r="BW74" s="164"/>
      <c r="BX74" s="164"/>
      <c r="BY74" s="164"/>
      <c r="BZ74" s="164"/>
      <c r="CA74" s="164"/>
    </row>
    <row r="75" spans="1:86" x14ac:dyDescent="0.25">
      <c r="A75" s="96">
        <v>67</v>
      </c>
      <c r="B75" s="137" t="str">
        <f>C75</f>
        <v>Ene 02</v>
      </c>
      <c r="C75" s="847" t="s">
        <v>138</v>
      </c>
      <c r="D75" s="845" t="s">
        <v>136</v>
      </c>
      <c r="E75" s="947">
        <f t="shared" ref="E75:Q75" si="151">SUM(E76:E78)</f>
        <v>2</v>
      </c>
      <c r="F75" s="947">
        <f t="shared" si="151"/>
        <v>2</v>
      </c>
      <c r="G75" s="947">
        <f t="shared" si="151"/>
        <v>2</v>
      </c>
      <c r="H75" s="947">
        <f t="shared" si="151"/>
        <v>2</v>
      </c>
      <c r="I75" s="947">
        <f t="shared" si="151"/>
        <v>2</v>
      </c>
      <c r="J75" s="947">
        <f t="shared" si="151"/>
        <v>2</v>
      </c>
      <c r="K75" s="947">
        <f t="shared" si="151"/>
        <v>2</v>
      </c>
      <c r="L75" s="947">
        <f t="shared" si="151"/>
        <v>2</v>
      </c>
      <c r="M75" s="947">
        <f t="shared" si="151"/>
        <v>2</v>
      </c>
      <c r="N75" s="947">
        <f t="shared" si="151"/>
        <v>2</v>
      </c>
      <c r="O75" s="947">
        <f t="shared" si="151"/>
        <v>2</v>
      </c>
      <c r="P75" s="947">
        <f t="shared" ref="P75" si="152">SUM(P76:P78)</f>
        <v>2</v>
      </c>
      <c r="Q75" s="947">
        <f t="shared" si="151"/>
        <v>2</v>
      </c>
      <c r="S75" s="977">
        <f t="shared" si="132"/>
        <v>2</v>
      </c>
      <c r="T75" s="222">
        <f>T77</f>
        <v>0</v>
      </c>
      <c r="U75" s="230"/>
      <c r="V75" s="230"/>
      <c r="W75" s="230">
        <f>'Manuell filtrering og justering'!E30</f>
        <v>0</v>
      </c>
      <c r="X75" s="230"/>
      <c r="Y75" s="972">
        <f t="shared" ref="Y75" si="153">SUM(Y76:Y78)</f>
        <v>3</v>
      </c>
      <c r="Z75" s="977">
        <f t="shared" si="134"/>
        <v>0</v>
      </c>
      <c r="AA75" s="1081">
        <f>SUM(AA76:AA78)</f>
        <v>2</v>
      </c>
      <c r="AC75" s="171">
        <f t="shared" si="135"/>
        <v>1.0370370370370372E-2</v>
      </c>
      <c r="AD75" s="935">
        <f>SUM(AD76:AD78)</f>
        <v>0</v>
      </c>
      <c r="AE75" s="935">
        <f t="shared" ref="AE75:AF75" si="154">SUM(AE76:AE78)</f>
        <v>0</v>
      </c>
      <c r="AF75" s="935">
        <f t="shared" si="154"/>
        <v>0</v>
      </c>
      <c r="AH75" s="972">
        <f t="shared" ref="AH75:AJ75" si="155">SUM(AH76:AH78)</f>
        <v>0</v>
      </c>
      <c r="AI75" s="972">
        <f t="shared" si="155"/>
        <v>0</v>
      </c>
      <c r="AJ75" s="972">
        <f t="shared" si="155"/>
        <v>0</v>
      </c>
      <c r="AK75" s="96" t="s">
        <v>428</v>
      </c>
      <c r="AL75" s="291"/>
      <c r="AM75" s="181"/>
      <c r="AN75" s="181"/>
      <c r="AO75" s="181"/>
      <c r="AP75" s="186"/>
      <c r="AR75" s="291"/>
      <c r="AS75" s="181"/>
      <c r="AT75" s="181"/>
      <c r="AU75" s="181"/>
      <c r="AV75" s="186"/>
      <c r="AX75" s="182"/>
      <c r="AY75" s="183"/>
      <c r="AZ75" s="183"/>
      <c r="BA75" s="183"/>
      <c r="BB75" s="187"/>
      <c r="BC75" s="182">
        <f>IF(BB75=0,9,IF((AH75-CF75)&gt;=BB75,5,IF((AH75-CF75)&gt;=BA75,4,IF((AH75-CF75)&gt;=AZ75,3,IF((AH75-CF75)&gt;=AY75,2,IF((AH75-CF75)&lt;AX75,0,1))))))</f>
        <v>9</v>
      </c>
      <c r="BD75" s="164" t="str">
        <f t="shared" si="138"/>
        <v>N/A</v>
      </c>
      <c r="BE75" s="185"/>
      <c r="BF75" s="182">
        <f>IF(BB75=0,9,IF((AI75-CF75)&gt;=BB75,5,IF((AI75-CF75)&gt;=BA75,4,IF((AI75-CF75)&gt;=AZ75,3,IF((AI75-CF75)&gt;=AY75,2,IF((AI75-CF75)&lt;AX75,0,1))))))</f>
        <v>9</v>
      </c>
      <c r="BG75" s="164" t="str">
        <f t="shared" si="140"/>
        <v>N/A</v>
      </c>
      <c r="BH75" s="185"/>
      <c r="BI75" s="182">
        <f>IF(BB75=0,9,IF((AJ75-CF75)&gt;=BB75,5,IF((AJ75-CF75)&gt;=BA75,4,IF((AJ75-CF75)&gt;=AZ75,3,IF((AJ75-CF75)&gt;=AY75,2,IF((AJ75-CF75)&lt;AX75,0,1))))))</f>
        <v>9</v>
      </c>
      <c r="BJ75" s="164" t="str">
        <f t="shared" si="141"/>
        <v>N/A</v>
      </c>
      <c r="BK75" s="185"/>
      <c r="BN75" s="167"/>
      <c r="BO75" s="167"/>
      <c r="BP75" s="167" t="str">
        <f t="shared" ref="BP75:BP138" si="156">IF(BN75&lt;&gt;"",BN75,IF(BO75&lt;&gt;"",BO75,""))</f>
        <v/>
      </c>
      <c r="BQ75" s="167">
        <f t="shared" si="54"/>
        <v>9</v>
      </c>
      <c r="BR75" s="167">
        <f t="shared" si="55"/>
        <v>9</v>
      </c>
      <c r="BS75" s="167">
        <f t="shared" si="56"/>
        <v>9</v>
      </c>
      <c r="BV75" s="167" t="str">
        <f>C75</f>
        <v>Ene 02</v>
      </c>
      <c r="BW75" s="167" t="str">
        <f>IFERROR(VLOOKUP($D75,'Pre-Assessment Estimator'!$E$11:$AB$224,'Pre-Assessment Estimator'!AB$2,FALSE),"")</f>
        <v>O2: Sub-met. (AC 4-7: -1,0 c)</v>
      </c>
      <c r="BX75" s="230" t="str">
        <f>IFERROR(VLOOKUP($D75,'Pre-Assessment Estimator'!$E$11:$AI$224,'Pre-Assessment Estimator'!AI$2,FALSE),"")</f>
        <v>Ja</v>
      </c>
      <c r="BY75" s="167">
        <f>IFERROR(VLOOKUP($BW75,$D$291:$G$324,E$289,FALSE),"")</f>
        <v>-1</v>
      </c>
      <c r="BZ75" s="680" t="s">
        <v>431</v>
      </c>
      <c r="CA75" s="167">
        <f>G306</f>
        <v>1</v>
      </c>
      <c r="CB75" s="96" t="str">
        <f>IFERROR(VLOOKUP($BW75,$D$291:$G$324,H$289,FALSE),"")</f>
        <v/>
      </c>
      <c r="CC75" s="689" t="s">
        <v>406</v>
      </c>
      <c r="CD75" s="167">
        <f>VLOOKUP(BZ75,$BZ$4:$CA$5,2,FALSE)</f>
        <v>0</v>
      </c>
      <c r="CF75" s="689">
        <f>IF($BW$5=ais_no,CD75,IF(CC75=$BX$5,IF(AND(BZ75=$BZ$4,BW75=$CB$4),0,BY75),CD75))</f>
        <v>0</v>
      </c>
      <c r="CH75" s="96" t="s">
        <v>406</v>
      </c>
    </row>
    <row r="76" spans="1:86" x14ac:dyDescent="0.25">
      <c r="A76" s="96">
        <v>68</v>
      </c>
      <c r="B76" s="96" t="str">
        <f t="shared" ref="B76:B78" si="157">$C$75&amp;C76</f>
        <v>Ene 02a</v>
      </c>
      <c r="C76" s="163" t="s">
        <v>696</v>
      </c>
      <c r="D76" s="1138" t="s">
        <v>628</v>
      </c>
      <c r="E76" s="788">
        <v>1</v>
      </c>
      <c r="F76" s="788">
        <v>1</v>
      </c>
      <c r="G76" s="1036">
        <v>0</v>
      </c>
      <c r="H76" s="788">
        <v>1</v>
      </c>
      <c r="I76" s="788">
        <v>1</v>
      </c>
      <c r="J76" s="788">
        <v>1</v>
      </c>
      <c r="K76" s="788">
        <v>1</v>
      </c>
      <c r="L76" s="788">
        <v>1</v>
      </c>
      <c r="M76" s="788">
        <v>1</v>
      </c>
      <c r="N76" s="788">
        <v>1</v>
      </c>
      <c r="O76" s="788">
        <v>1</v>
      </c>
      <c r="P76" s="788">
        <v>1</v>
      </c>
      <c r="Q76" s="788">
        <v>1</v>
      </c>
      <c r="S76" s="221">
        <f t="shared" si="132"/>
        <v>1</v>
      </c>
      <c r="T76" s="166"/>
      <c r="U76" s="167"/>
      <c r="V76" s="167"/>
      <c r="W76" s="167"/>
      <c r="X76" s="169">
        <f>IF($X$4=$X$6,S76,0)</f>
        <v>0</v>
      </c>
      <c r="Y76" s="168">
        <f>VLOOKUP(B76,'Manuell filtrering og justering'!$A$7:$H$107,'Manuell filtrering og justering'!$H$1,FALSE)</f>
        <v>1</v>
      </c>
      <c r="Z76" s="169">
        <f t="shared" si="134"/>
        <v>0</v>
      </c>
      <c r="AA76" s="170">
        <f>IF($AB$5='Manuell filtrering og justering'!$J$2,Y76,(S76-Z76))</f>
        <v>1</v>
      </c>
      <c r="AC76" s="171">
        <f t="shared" si="135"/>
        <v>5.1851851851851859E-3</v>
      </c>
      <c r="AD76" s="171">
        <f t="shared" si="143"/>
        <v>0</v>
      </c>
      <c r="AE76" s="171">
        <f t="shared" si="144"/>
        <v>0</v>
      </c>
      <c r="AF76" s="171">
        <f t="shared" si="145"/>
        <v>0</v>
      </c>
      <c r="AH76" s="172">
        <f>IF(VLOOKUP(D76,'Pre-Assessment Estimator'!$E$11:$Z$224,'Pre-Assessment Estimator'!$G$2,FALSE)&gt;AA76,AA76,VLOOKUP(D76,'Pre-Assessment Estimator'!$E$11:$Z$224,'Pre-Assessment Estimator'!$G$2,FALSE))</f>
        <v>0</v>
      </c>
      <c r="AI76" s="172">
        <f>IF(VLOOKUP(D76,'Pre-Assessment Estimator'!$E$11:$Z$224,'Pre-Assessment Estimator'!$N$2,FALSE)&gt;AA76,AA76,VLOOKUP(D76,'Pre-Assessment Estimator'!$E$11:$Z$224,'Pre-Assessment Estimator'!$N$2,FALSE))</f>
        <v>0</v>
      </c>
      <c r="AJ76" s="172">
        <f>IF(VLOOKUP(D76,'Pre-Assessment Estimator'!$E$11:$Z$224,'Pre-Assessment Estimator'!$U$2,FALSE)&gt;AA76,AA76,VLOOKUP(D76,'Pre-Assessment Estimator'!$E$11:$Z$224,'Pre-Assessment Estimator'!$U$2,FALSE))</f>
        <v>0</v>
      </c>
      <c r="AL76" s="291"/>
      <c r="AM76" s="181"/>
      <c r="AN76" s="181"/>
      <c r="AO76" s="181"/>
      <c r="AP76" s="186"/>
      <c r="AR76" s="291"/>
      <c r="AS76" s="181"/>
      <c r="AT76" s="181"/>
      <c r="AU76" s="181"/>
      <c r="AV76" s="186"/>
      <c r="AX76" s="182"/>
      <c r="AY76" s="183"/>
      <c r="AZ76" s="183"/>
      <c r="BA76" s="183"/>
      <c r="BB76" s="187"/>
      <c r="BC76" s="182">
        <f t="shared" ref="BC76:BC95" si="158">IF(BB76=0,9,IF((AH76-CF76)&gt;=BB76,5,IF((AH76-CF76)&gt;=BA76,4,IF((AH76-CF76)&gt;=AZ76,3,IF((AH76-CF76)&gt;=AY76,2,IF((AH76-CF76)&lt;AX76,0,1))))))</f>
        <v>9</v>
      </c>
      <c r="BD76" s="164" t="str">
        <f t="shared" si="138"/>
        <v>N/A</v>
      </c>
      <c r="BE76" s="185"/>
      <c r="BF76" s="182">
        <f t="shared" ref="BF76:BF95" si="159">IF(BB76=0,9,IF((AI76-CF76)&gt;=BB76,5,IF((AI76-CF76)&gt;=BA76,4,IF((AI76-CF76)&gt;=AZ76,3,IF((AI76-CF76)&gt;=AY76,2,IF((AI76-CF76)&lt;AX76,0,1))))))</f>
        <v>9</v>
      </c>
      <c r="BG76" s="164" t="str">
        <f t="shared" si="140"/>
        <v>N/A</v>
      </c>
      <c r="BH76" s="185"/>
      <c r="BI76" s="182">
        <f t="shared" ref="BI76:BI95" si="160">IF(BB76=0,9,IF((AJ76-CF76)&gt;=BB76,5,IF((AJ76-CF76)&gt;=BA76,4,IF((AJ76-CF76)&gt;=AZ76,3,IF((AJ76-CF76)&gt;=AY76,2,IF((AJ76-CF76)&lt;AX76,0,1))))))</f>
        <v>9</v>
      </c>
      <c r="BJ76" s="164" t="str">
        <f t="shared" si="141"/>
        <v>N/A</v>
      </c>
      <c r="BK76" s="185"/>
      <c r="BN76" s="167"/>
      <c r="BO76" s="167"/>
      <c r="BP76" s="167" t="str">
        <f t="shared" si="156"/>
        <v/>
      </c>
      <c r="BQ76" s="167">
        <f t="shared" si="54"/>
        <v>9</v>
      </c>
      <c r="BR76" s="167">
        <f t="shared" si="55"/>
        <v>9</v>
      </c>
      <c r="BS76" s="167">
        <f t="shared" si="56"/>
        <v>9</v>
      </c>
      <c r="BV76" s="167"/>
      <c r="BW76" s="167"/>
      <c r="BX76" s="230"/>
      <c r="BY76" s="167"/>
      <c r="BZ76" s="852"/>
      <c r="CA76" s="167"/>
      <c r="CC76" s="689"/>
      <c r="CD76" s="167"/>
      <c r="CF76" s="689"/>
    </row>
    <row r="77" spans="1:86" x14ac:dyDescent="0.25">
      <c r="A77" s="96">
        <v>69</v>
      </c>
      <c r="B77" s="96" t="str">
        <f t="shared" si="157"/>
        <v>Ene 02b</v>
      </c>
      <c r="C77" s="163" t="s">
        <v>699</v>
      </c>
      <c r="D77" s="1138" t="s">
        <v>629</v>
      </c>
      <c r="E77" s="788">
        <v>1</v>
      </c>
      <c r="F77" s="788">
        <v>1</v>
      </c>
      <c r="G77" s="1036">
        <v>0</v>
      </c>
      <c r="H77" s="788">
        <v>1</v>
      </c>
      <c r="I77" s="788">
        <v>1</v>
      </c>
      <c r="J77" s="788">
        <v>1</v>
      </c>
      <c r="K77" s="788">
        <v>1</v>
      </c>
      <c r="L77" s="788">
        <v>1</v>
      </c>
      <c r="M77" s="788">
        <v>1</v>
      </c>
      <c r="N77" s="788">
        <v>1</v>
      </c>
      <c r="O77" s="788">
        <v>1</v>
      </c>
      <c r="P77" s="788">
        <v>1</v>
      </c>
      <c r="Q77" s="788">
        <v>1</v>
      </c>
      <c r="S77" s="221">
        <f t="shared" si="132"/>
        <v>1</v>
      </c>
      <c r="T77" s="222">
        <f>IF(AND('Assessment Details'!I28=1,'Assessment Details'!F28=AD_no),Poeng!S77,0)</f>
        <v>0</v>
      </c>
      <c r="U77" s="167"/>
      <c r="V77" s="167"/>
      <c r="W77" s="167"/>
      <c r="X77" s="169">
        <f>IF($X$4=$X$6,S77,0)</f>
        <v>0</v>
      </c>
      <c r="Y77" s="168">
        <f>VLOOKUP(B77,'Manuell filtrering og justering'!$A$7:$H$107,'Manuell filtrering og justering'!$H$1,FALSE)</f>
        <v>1</v>
      </c>
      <c r="Z77" s="169">
        <f t="shared" si="134"/>
        <v>0</v>
      </c>
      <c r="AA77" s="170">
        <f>IF($AB$5='Manuell filtrering og justering'!$J$2,Y77,(S77-Z77))</f>
        <v>1</v>
      </c>
      <c r="AC77" s="171">
        <f t="shared" si="135"/>
        <v>5.1851851851851859E-3</v>
      </c>
      <c r="AD77" s="171">
        <f t="shared" si="143"/>
        <v>0</v>
      </c>
      <c r="AE77" s="171">
        <f t="shared" si="144"/>
        <v>0</v>
      </c>
      <c r="AF77" s="171">
        <f t="shared" si="145"/>
        <v>0</v>
      </c>
      <c r="AH77" s="172">
        <f>IF(VLOOKUP(D77,'Pre-Assessment Estimator'!$E$11:$Z$224,'Pre-Assessment Estimator'!$G$2,FALSE)&gt;AA77,AA77,VLOOKUP(D77,'Pre-Assessment Estimator'!$E$11:$Z$224,'Pre-Assessment Estimator'!$G$2,FALSE))</f>
        <v>0</v>
      </c>
      <c r="AI77" s="172">
        <f>IF(VLOOKUP(D77,'Pre-Assessment Estimator'!$E$11:$Z$224,'Pre-Assessment Estimator'!$N$2,FALSE)&gt;AA77,AA77,VLOOKUP(D77,'Pre-Assessment Estimator'!$E$11:$Z$224,'Pre-Assessment Estimator'!$N$2,FALSE))</f>
        <v>0</v>
      </c>
      <c r="AJ77" s="172">
        <f>IF(VLOOKUP(D77,'Pre-Assessment Estimator'!$E$11:$Z$224,'Pre-Assessment Estimator'!$U$2,FALSE)&gt;AA77,AA77,VLOOKUP(D77,'Pre-Assessment Estimator'!$E$11:$Z$224,'Pre-Assessment Estimator'!$U$2,FALSE))</f>
        <v>0</v>
      </c>
      <c r="AL77" s="291"/>
      <c r="AM77" s="181"/>
      <c r="AN77" s="181"/>
      <c r="AO77" s="181"/>
      <c r="AP77" s="186"/>
      <c r="AR77" s="291"/>
      <c r="AS77" s="181"/>
      <c r="AT77" s="181"/>
      <c r="AU77" s="181"/>
      <c r="AV77" s="186"/>
      <c r="AX77" s="182"/>
      <c r="AY77" s="183"/>
      <c r="AZ77" s="183"/>
      <c r="BA77" s="183"/>
      <c r="BB77" s="187"/>
      <c r="BC77" s="182">
        <f t="shared" si="158"/>
        <v>9</v>
      </c>
      <c r="BD77" s="164" t="str">
        <f t="shared" si="138"/>
        <v>N/A</v>
      </c>
      <c r="BE77" s="185"/>
      <c r="BF77" s="182">
        <f t="shared" si="159"/>
        <v>9</v>
      </c>
      <c r="BG77" s="164" t="str">
        <f t="shared" si="140"/>
        <v>N/A</v>
      </c>
      <c r="BH77" s="185"/>
      <c r="BI77" s="182">
        <f t="shared" si="160"/>
        <v>9</v>
      </c>
      <c r="BJ77" s="164" t="str">
        <f t="shared" si="141"/>
        <v>N/A</v>
      </c>
      <c r="BK77" s="185"/>
      <c r="BN77" s="167"/>
      <c r="BO77" s="167"/>
      <c r="BP77" s="167" t="str">
        <f t="shared" si="156"/>
        <v/>
      </c>
      <c r="BQ77" s="167">
        <f t="shared" si="54"/>
        <v>9</v>
      </c>
      <c r="BR77" s="167">
        <f t="shared" si="55"/>
        <v>9</v>
      </c>
      <c r="BS77" s="167">
        <f t="shared" si="56"/>
        <v>9</v>
      </c>
      <c r="BV77" s="167"/>
      <c r="BW77" s="167"/>
      <c r="BX77" s="230"/>
      <c r="BY77" s="167"/>
      <c r="BZ77" s="852"/>
      <c r="CA77" s="167"/>
      <c r="CC77" s="689"/>
      <c r="CD77" s="167"/>
      <c r="CF77" s="689"/>
    </row>
    <row r="78" spans="1:86" ht="15.75" thickBot="1" x14ac:dyDescent="0.3">
      <c r="A78" s="96">
        <v>70</v>
      </c>
      <c r="B78" s="96" t="str">
        <f t="shared" si="157"/>
        <v>Ene 02c</v>
      </c>
      <c r="C78" s="166" t="s">
        <v>700</v>
      </c>
      <c r="D78" s="1138" t="s">
        <v>630</v>
      </c>
      <c r="E78" s="788">
        <v>0</v>
      </c>
      <c r="F78" s="788">
        <v>0</v>
      </c>
      <c r="G78" s="1036">
        <v>2</v>
      </c>
      <c r="H78" s="788">
        <v>0</v>
      </c>
      <c r="I78" s="788">
        <v>0</v>
      </c>
      <c r="J78" s="788">
        <v>0</v>
      </c>
      <c r="K78" s="788">
        <v>0</v>
      </c>
      <c r="L78" s="788">
        <v>0</v>
      </c>
      <c r="M78" s="788">
        <v>0</v>
      </c>
      <c r="N78" s="788">
        <v>0</v>
      </c>
      <c r="O78" s="788">
        <v>0</v>
      </c>
      <c r="P78" s="788">
        <v>0</v>
      </c>
      <c r="Q78" s="788">
        <v>0</v>
      </c>
      <c r="S78" s="221">
        <f t="shared" si="132"/>
        <v>0</v>
      </c>
      <c r="T78" s="166"/>
      <c r="U78" s="167"/>
      <c r="V78" s="193"/>
      <c r="W78" s="167"/>
      <c r="X78" s="169">
        <f>IF($X$4=$X$6,S78,0)</f>
        <v>0</v>
      </c>
      <c r="Y78" s="168">
        <f>VLOOKUP(B78,'Manuell filtrering og justering'!$A$7:$H$107,'Manuell filtrering og justering'!$H$1,FALSE)</f>
        <v>1</v>
      </c>
      <c r="Z78" s="169">
        <f t="shared" si="134"/>
        <v>0</v>
      </c>
      <c r="AA78" s="170">
        <f>IF($AB$5='Manuell filtrering og justering'!$J$2,Y78,(S78-Z78))</f>
        <v>0</v>
      </c>
      <c r="AC78" s="171">
        <f t="shared" si="135"/>
        <v>0</v>
      </c>
      <c r="AD78" s="171">
        <f t="shared" si="143"/>
        <v>0</v>
      </c>
      <c r="AE78" s="171">
        <f t="shared" si="144"/>
        <v>0</v>
      </c>
      <c r="AF78" s="171">
        <f t="shared" si="145"/>
        <v>0</v>
      </c>
      <c r="AH78" s="172">
        <f>IF(VLOOKUP(D78,'Pre-Assessment Estimator'!$E$11:$Z$224,'Pre-Assessment Estimator'!$G$2,FALSE)&gt;AA78,AA78,VLOOKUP(D78,'Pre-Assessment Estimator'!$E$11:$Z$224,'Pre-Assessment Estimator'!$G$2,FALSE))</f>
        <v>0</v>
      </c>
      <c r="AI78" s="172">
        <f>IF(VLOOKUP(D78,'Pre-Assessment Estimator'!$E$11:$Z$224,'Pre-Assessment Estimator'!$N$2,FALSE)&gt;AA78,AA78,VLOOKUP(D78,'Pre-Assessment Estimator'!$E$11:$Z$224,'Pre-Assessment Estimator'!$N$2,FALSE))</f>
        <v>0</v>
      </c>
      <c r="AJ78" s="172">
        <f>IF(VLOOKUP(D78,'Pre-Assessment Estimator'!$E$11:$Z$224,'Pre-Assessment Estimator'!$U$2,FALSE)&gt;AA78,AA78,VLOOKUP(D78,'Pre-Assessment Estimator'!$E$11:$Z$224,'Pre-Assessment Estimator'!$U$2,FALSE))</f>
        <v>0</v>
      </c>
      <c r="AL78" s="291"/>
      <c r="AM78" s="181"/>
      <c r="AN78" s="181"/>
      <c r="AO78" s="181"/>
      <c r="AP78" s="186"/>
      <c r="AR78" s="291"/>
      <c r="AS78" s="181"/>
      <c r="AT78" s="181"/>
      <c r="AU78" s="181"/>
      <c r="AV78" s="186"/>
      <c r="AX78" s="182"/>
      <c r="AY78" s="183"/>
      <c r="AZ78" s="183"/>
      <c r="BA78" s="183"/>
      <c r="BB78" s="187"/>
      <c r="BC78" s="182">
        <f t="shared" si="158"/>
        <v>9</v>
      </c>
      <c r="BD78" s="164" t="str">
        <f t="shared" si="138"/>
        <v>N/A</v>
      </c>
      <c r="BE78" s="185"/>
      <c r="BF78" s="182">
        <f t="shared" si="159"/>
        <v>9</v>
      </c>
      <c r="BG78" s="164" t="str">
        <f t="shared" si="140"/>
        <v>N/A</v>
      </c>
      <c r="BH78" s="185"/>
      <c r="BI78" s="182">
        <f t="shared" si="160"/>
        <v>9</v>
      </c>
      <c r="BJ78" s="164" t="str">
        <f t="shared" si="141"/>
        <v>N/A</v>
      </c>
      <c r="BK78" s="185"/>
      <c r="BN78" s="167"/>
      <c r="BO78" s="167"/>
      <c r="BP78" s="167" t="str">
        <f t="shared" si="156"/>
        <v/>
      </c>
      <c r="BQ78" s="167">
        <f t="shared" si="54"/>
        <v>9</v>
      </c>
      <c r="BR78" s="167">
        <f t="shared" si="55"/>
        <v>9</v>
      </c>
      <c r="BS78" s="167">
        <f t="shared" si="56"/>
        <v>9</v>
      </c>
      <c r="BV78" s="167"/>
      <c r="BW78" s="167"/>
      <c r="BX78" s="230"/>
      <c r="BY78" s="167"/>
      <c r="BZ78" s="852"/>
      <c r="CA78" s="167"/>
      <c r="CC78" s="689"/>
      <c r="CD78" s="167"/>
      <c r="CF78" s="689"/>
    </row>
    <row r="79" spans="1:86" x14ac:dyDescent="0.25">
      <c r="A79" s="96">
        <v>71</v>
      </c>
      <c r="B79" s="137" t="str">
        <f>C79</f>
        <v>Ene 03</v>
      </c>
      <c r="C79" s="956" t="s">
        <v>139</v>
      </c>
      <c r="D79" s="845" t="s">
        <v>131</v>
      </c>
      <c r="E79" s="965">
        <v>1</v>
      </c>
      <c r="F79" s="965">
        <v>1</v>
      </c>
      <c r="G79" s="965">
        <v>1</v>
      </c>
      <c r="H79" s="965">
        <v>1</v>
      </c>
      <c r="I79" s="965">
        <v>1</v>
      </c>
      <c r="J79" s="965">
        <v>1</v>
      </c>
      <c r="K79" s="965">
        <v>1</v>
      </c>
      <c r="L79" s="965">
        <v>1</v>
      </c>
      <c r="M79" s="965">
        <v>1</v>
      </c>
      <c r="N79" s="965">
        <v>1</v>
      </c>
      <c r="O79" s="965">
        <v>1</v>
      </c>
      <c r="P79" s="965">
        <v>1</v>
      </c>
      <c r="Q79" s="965">
        <v>1</v>
      </c>
      <c r="S79" s="977">
        <f t="shared" si="132"/>
        <v>1</v>
      </c>
      <c r="T79" s="222"/>
      <c r="U79" s="1113"/>
      <c r="V79" s="150" t="s">
        <v>958</v>
      </c>
      <c r="W79" s="1114">
        <f>'Manuell filtrering og justering'!E31</f>
        <v>0</v>
      </c>
      <c r="X79" s="1176"/>
      <c r="Y79" s="994">
        <f>IF((Y80+Y81)&gt;0,1,0)</f>
        <v>1</v>
      </c>
      <c r="Z79" s="977">
        <f t="shared" si="134"/>
        <v>0</v>
      </c>
      <c r="AA79" s="1081">
        <f>SUM(AA80:AA81)</f>
        <v>1</v>
      </c>
      <c r="AC79" s="171">
        <f t="shared" si="135"/>
        <v>5.1851851851851859E-3</v>
      </c>
      <c r="AD79" s="935">
        <f>IF(SUM(AD80:AD81)&gt;Ene03_05,Ene03_05,SUM(AD80:AD81))</f>
        <v>0</v>
      </c>
      <c r="AE79" s="935">
        <f>IF(SUM(AE80:AE81)&gt;Ene03_05,Ene03_05,SUM(AE80:AE81))</f>
        <v>0</v>
      </c>
      <c r="AF79" s="935">
        <f>IF(SUM(AF80:AF81)&gt;Ene03_05,Ene03_05,SUM(AF80:AF81))</f>
        <v>0</v>
      </c>
      <c r="AH79" s="972">
        <f>IF(SUM(AH80:AH81)&gt;Ene03_credits,Ene03_credits,SUM(AH80:AH81))</f>
        <v>0</v>
      </c>
      <c r="AI79" s="972">
        <f>IF(SUM(AI80:AI81)&gt;Ene03_credits,Ene03_credits,SUM(AI80:AI81))</f>
        <v>0</v>
      </c>
      <c r="AJ79" s="972">
        <f>IF(SUM(AJ80:AJ81)&gt;Ene03_credits,Ene03_credits,SUM(AJ80:AJ81))</f>
        <v>0</v>
      </c>
      <c r="AK79" s="96" t="s">
        <v>428</v>
      </c>
      <c r="AL79" s="292"/>
      <c r="AM79" s="293"/>
      <c r="AN79" s="293"/>
      <c r="AO79" s="293"/>
      <c r="AP79" s="294"/>
      <c r="AR79" s="292"/>
      <c r="AS79" s="293"/>
      <c r="AT79" s="293"/>
      <c r="AU79" s="293"/>
      <c r="AV79" s="294"/>
      <c r="AX79" s="188"/>
      <c r="AY79" s="189"/>
      <c r="AZ79" s="189"/>
      <c r="BA79" s="189"/>
      <c r="BB79" s="190"/>
      <c r="BC79" s="182">
        <f t="shared" si="158"/>
        <v>9</v>
      </c>
      <c r="BD79" s="164" t="str">
        <f t="shared" si="138"/>
        <v>N/A</v>
      </c>
      <c r="BE79" s="185"/>
      <c r="BF79" s="182">
        <f t="shared" si="159"/>
        <v>9</v>
      </c>
      <c r="BG79" s="164" t="str">
        <f t="shared" si="140"/>
        <v>N/A</v>
      </c>
      <c r="BH79" s="185"/>
      <c r="BI79" s="182">
        <f t="shared" si="160"/>
        <v>9</v>
      </c>
      <c r="BJ79" s="164" t="str">
        <f t="shared" si="141"/>
        <v>N/A</v>
      </c>
      <c r="BK79" s="185"/>
      <c r="BL79" s="96" t="s">
        <v>461</v>
      </c>
      <c r="BN79" s="167"/>
      <c r="BO79" s="167"/>
      <c r="BP79" s="167" t="str">
        <f t="shared" si="156"/>
        <v/>
      </c>
      <c r="BQ79" s="167">
        <f t="shared" si="54"/>
        <v>9</v>
      </c>
      <c r="BR79" s="167">
        <f t="shared" si="55"/>
        <v>9</v>
      </c>
      <c r="BS79" s="167">
        <f t="shared" si="56"/>
        <v>9</v>
      </c>
      <c r="BV79" s="167" t="str">
        <f>C79</f>
        <v>Ene 03</v>
      </c>
      <c r="BW79" s="167" t="str">
        <f>IFERROR(VLOOKUP($D79,'Pre-Assessment Estimator'!$E$11:$AB$224,'Pre-Assessment Estimator'!AB$2,FALSE),"")</f>
        <v>No</v>
      </c>
      <c r="BX79" s="230" t="str">
        <f>IFERROR(VLOOKUP($D79,'Pre-Assessment Estimator'!$E$11:$AI$224,'Pre-Assessment Estimator'!AI$2,FALSE),"")</f>
        <v>Ja</v>
      </c>
      <c r="BY79" s="167">
        <f>IFERROR(VLOOKUP($BW79,$D$291:$G$324,E$289,FALSE),"")</f>
        <v>1</v>
      </c>
      <c r="BZ79" s="688" t="s">
        <v>433</v>
      </c>
      <c r="CA79" s="167"/>
      <c r="CB79" s="96" t="str">
        <f>IFERROR(VLOOKUP($BW79,$D$291:$G$324,H$289,FALSE),"")</f>
        <v/>
      </c>
      <c r="CC79" s="96" t="s">
        <v>439</v>
      </c>
      <c r="CD79" s="167">
        <f>VLOOKUP(BZ79,$BZ$4:$CA$5,2,FALSE)</f>
        <v>1</v>
      </c>
      <c r="CF79" s="689">
        <f>IF($BW$5=ais_no,CD79,IF(AND(BZ79=$BZ$4,BW79=$CB$4),0,BY79))</f>
        <v>1</v>
      </c>
    </row>
    <row r="80" spans="1:86" x14ac:dyDescent="0.25">
      <c r="A80" s="96">
        <v>72</v>
      </c>
      <c r="B80" s="96" t="str">
        <f t="shared" ref="B80:B81" si="161">$C$79&amp;C80</f>
        <v>Ene 03a</v>
      </c>
      <c r="C80" s="163" t="s">
        <v>696</v>
      </c>
      <c r="D80" s="1138" t="s">
        <v>631</v>
      </c>
      <c r="E80" s="788">
        <v>1</v>
      </c>
      <c r="F80" s="788">
        <v>1</v>
      </c>
      <c r="G80" s="788">
        <v>1</v>
      </c>
      <c r="H80" s="788">
        <v>1</v>
      </c>
      <c r="I80" s="788">
        <v>1</v>
      </c>
      <c r="J80" s="788">
        <v>1</v>
      </c>
      <c r="K80" s="788">
        <v>1</v>
      </c>
      <c r="L80" s="788">
        <v>1</v>
      </c>
      <c r="M80" s="788">
        <v>1</v>
      </c>
      <c r="N80" s="788">
        <v>1</v>
      </c>
      <c r="O80" s="788">
        <v>1</v>
      </c>
      <c r="P80" s="788">
        <v>1</v>
      </c>
      <c r="Q80" s="788">
        <v>1</v>
      </c>
      <c r="S80" s="221">
        <f t="shared" si="132"/>
        <v>1</v>
      </c>
      <c r="T80" s="222">
        <f>IF('Assessment Details'!F18=AD_Yes,Poeng!S80,0)</f>
        <v>0</v>
      </c>
      <c r="U80" s="168"/>
      <c r="V80" s="169">
        <f>IF('Assessment Details'!F18=AD_Yes,Poeng!Y80,0)</f>
        <v>0</v>
      </c>
      <c r="W80" s="239"/>
      <c r="X80" s="1175"/>
      <c r="Y80" s="168">
        <f>VLOOKUP(B80,'Manuell filtrering og justering'!$A$7:$H$107,'Manuell filtrering og justering'!$H$1,FALSE)</f>
        <v>1</v>
      </c>
      <c r="Z80" s="169">
        <f>IF(SUM(T80:U80)&gt;S80,S80,SUM(T80:U80))</f>
        <v>0</v>
      </c>
      <c r="AA80" s="1051">
        <f>IF($AB$5='Manuell filtrering og justering'!$J$2,Y80-V80,(S80-Z80))</f>
        <v>1</v>
      </c>
      <c r="AC80" s="171">
        <f t="shared" si="135"/>
        <v>5.1851851851851859E-3</v>
      </c>
      <c r="AD80" s="171">
        <f t="shared" si="143"/>
        <v>0</v>
      </c>
      <c r="AE80" s="171">
        <f t="shared" si="144"/>
        <v>0</v>
      </c>
      <c r="AF80" s="171">
        <f t="shared" si="145"/>
        <v>0</v>
      </c>
      <c r="AH80" s="172">
        <f>IF(VLOOKUP(D80,'Pre-Assessment Estimator'!$E$11:$Z$224,'Pre-Assessment Estimator'!$G$2,FALSE)&gt;AA80,AA80,VLOOKUP(D80,'Pre-Assessment Estimator'!$E$11:$Z$224,'Pre-Assessment Estimator'!$G$2,FALSE))</f>
        <v>0</v>
      </c>
      <c r="AI80" s="172">
        <f>IF(VLOOKUP(D80,'Pre-Assessment Estimator'!$E$11:$Z$224,'Pre-Assessment Estimator'!$N$2,FALSE)&gt;AA80,AA80,VLOOKUP(D80,'Pre-Assessment Estimator'!$E$11:$Z$224,'Pre-Assessment Estimator'!$N$2,FALSE))</f>
        <v>0</v>
      </c>
      <c r="AJ80" s="172">
        <f>IF(VLOOKUP(D80,'Pre-Assessment Estimator'!$E$11:$Z$224,'Pre-Assessment Estimator'!$U$2,FALSE)&gt;AA80,AA80,VLOOKUP(D80,'Pre-Assessment Estimator'!$E$11:$Z$224,'Pre-Assessment Estimator'!$U$2,FALSE))</f>
        <v>0</v>
      </c>
      <c r="AL80" s="292"/>
      <c r="AM80" s="293"/>
      <c r="AN80" s="293"/>
      <c r="AO80" s="293"/>
      <c r="AP80" s="294"/>
      <c r="AR80" s="292"/>
      <c r="AS80" s="293"/>
      <c r="AT80" s="293"/>
      <c r="AU80" s="293"/>
      <c r="AV80" s="294"/>
      <c r="AX80" s="188"/>
      <c r="AY80" s="189"/>
      <c r="AZ80" s="189"/>
      <c r="BA80" s="189"/>
      <c r="BB80" s="190"/>
      <c r="BC80" s="182">
        <f t="shared" si="158"/>
        <v>9</v>
      </c>
      <c r="BD80" s="164" t="str">
        <f t="shared" si="138"/>
        <v>N/A</v>
      </c>
      <c r="BE80" s="185"/>
      <c r="BF80" s="182">
        <f t="shared" si="159"/>
        <v>9</v>
      </c>
      <c r="BG80" s="164" t="str">
        <f t="shared" si="140"/>
        <v>N/A</v>
      </c>
      <c r="BH80" s="185"/>
      <c r="BI80" s="182">
        <f t="shared" si="160"/>
        <v>9</v>
      </c>
      <c r="BJ80" s="164" t="str">
        <f t="shared" si="141"/>
        <v>N/A</v>
      </c>
      <c r="BK80" s="185"/>
      <c r="BN80" s="167"/>
      <c r="BO80" s="167"/>
      <c r="BP80" s="167" t="str">
        <f t="shared" si="156"/>
        <v/>
      </c>
      <c r="BQ80" s="167">
        <f t="shared" si="54"/>
        <v>9</v>
      </c>
      <c r="BR80" s="167">
        <f t="shared" si="55"/>
        <v>9</v>
      </c>
      <c r="BS80" s="167">
        <f t="shared" si="56"/>
        <v>9</v>
      </c>
      <c r="BV80" s="167"/>
      <c r="BW80" s="167"/>
      <c r="BX80" s="230"/>
      <c r="BY80" s="167"/>
      <c r="BZ80" s="688"/>
      <c r="CA80" s="167"/>
      <c r="CD80" s="99"/>
      <c r="CF80" s="689"/>
    </row>
    <row r="81" spans="1:84" ht="15.75" thickBot="1" x14ac:dyDescent="0.3">
      <c r="A81" s="96">
        <v>73</v>
      </c>
      <c r="B81" s="96" t="str">
        <f t="shared" si="161"/>
        <v>Ene 03b</v>
      </c>
      <c r="C81" s="163" t="s">
        <v>699</v>
      </c>
      <c r="D81" s="1138" t="s">
        <v>632</v>
      </c>
      <c r="E81" s="788">
        <v>1</v>
      </c>
      <c r="F81" s="788">
        <v>1</v>
      </c>
      <c r="G81" s="788">
        <v>1</v>
      </c>
      <c r="H81" s="788">
        <v>1</v>
      </c>
      <c r="I81" s="788">
        <v>1</v>
      </c>
      <c r="J81" s="788">
        <v>1</v>
      </c>
      <c r="K81" s="788">
        <v>1</v>
      </c>
      <c r="L81" s="788">
        <v>1</v>
      </c>
      <c r="M81" s="788">
        <v>1</v>
      </c>
      <c r="N81" s="788">
        <v>1</v>
      </c>
      <c r="O81" s="788">
        <v>1</v>
      </c>
      <c r="P81" s="788">
        <v>1</v>
      </c>
      <c r="Q81" s="788">
        <v>1</v>
      </c>
      <c r="S81" s="221">
        <f t="shared" si="132"/>
        <v>1</v>
      </c>
      <c r="T81" s="222">
        <f>IF(T80=0,1,0)</f>
        <v>1</v>
      </c>
      <c r="U81" s="168"/>
      <c r="V81" s="241">
        <f>IF(V80=0,1,0)</f>
        <v>1</v>
      </c>
      <c r="W81" s="239"/>
      <c r="X81" s="1175"/>
      <c r="Y81" s="168">
        <f>VLOOKUP(B81,'Manuell filtrering og justering'!$A$7:$H$107,'Manuell filtrering og justering'!$H$1,FALSE)</f>
        <v>1</v>
      </c>
      <c r="Z81" s="169">
        <f>IF(SUM(T81:U81)&gt;S81,S81,SUM(T81:U81))</f>
        <v>1</v>
      </c>
      <c r="AA81" s="1051">
        <f>IF($AB$5='Manuell filtrering og justering'!$J$2,Y81-V81,(S81-Z81))</f>
        <v>0</v>
      </c>
      <c r="AC81" s="171">
        <f t="shared" si="135"/>
        <v>0</v>
      </c>
      <c r="AD81" s="171">
        <f t="shared" si="143"/>
        <v>0</v>
      </c>
      <c r="AE81" s="171">
        <f t="shared" si="144"/>
        <v>0</v>
      </c>
      <c r="AF81" s="171">
        <f t="shared" si="145"/>
        <v>0</v>
      </c>
      <c r="AH81" s="172">
        <f>IF(VLOOKUP(D81,'Pre-Assessment Estimator'!$E$11:$Z$224,'Pre-Assessment Estimator'!$G$2,FALSE)&gt;AA81,AA81,VLOOKUP(D81,'Pre-Assessment Estimator'!$E$11:$Z$224,'Pre-Assessment Estimator'!$G$2,FALSE))</f>
        <v>0</v>
      </c>
      <c r="AI81" s="172">
        <f>IF(VLOOKUP(D81,'Pre-Assessment Estimator'!$E$11:$Z$224,'Pre-Assessment Estimator'!$N$2,FALSE)&gt;AA81,AA81,VLOOKUP(D81,'Pre-Assessment Estimator'!$E$11:$Z$224,'Pre-Assessment Estimator'!$N$2,FALSE))</f>
        <v>0</v>
      </c>
      <c r="AJ81" s="172">
        <f>IF(VLOOKUP(D81,'Pre-Assessment Estimator'!$E$11:$Z$224,'Pre-Assessment Estimator'!$U$2,FALSE)&gt;AA81,AA81,VLOOKUP(D81,'Pre-Assessment Estimator'!$E$11:$Z$224,'Pre-Assessment Estimator'!$U$2,FALSE))</f>
        <v>0</v>
      </c>
      <c r="AL81" s="292"/>
      <c r="AM81" s="293"/>
      <c r="AN81" s="293"/>
      <c r="AO81" s="293"/>
      <c r="AP81" s="294"/>
      <c r="AR81" s="292"/>
      <c r="AS81" s="293"/>
      <c r="AT81" s="293"/>
      <c r="AU81" s="293"/>
      <c r="AV81" s="294"/>
      <c r="AX81" s="188"/>
      <c r="AY81" s="189"/>
      <c r="AZ81" s="189"/>
      <c r="BA81" s="189"/>
      <c r="BB81" s="190"/>
      <c r="BC81" s="182">
        <f t="shared" si="158"/>
        <v>9</v>
      </c>
      <c r="BD81" s="164" t="str">
        <f t="shared" si="138"/>
        <v>N/A</v>
      </c>
      <c r="BE81" s="185"/>
      <c r="BF81" s="182">
        <f t="shared" si="159"/>
        <v>9</v>
      </c>
      <c r="BG81" s="164" t="str">
        <f t="shared" si="140"/>
        <v>N/A</v>
      </c>
      <c r="BH81" s="185"/>
      <c r="BI81" s="182">
        <f t="shared" si="160"/>
        <v>9</v>
      </c>
      <c r="BJ81" s="164" t="str">
        <f t="shared" si="141"/>
        <v>N/A</v>
      </c>
      <c r="BK81" s="185"/>
      <c r="BN81" s="167"/>
      <c r="BO81" s="167"/>
      <c r="BP81" s="167" t="str">
        <f t="shared" si="156"/>
        <v/>
      </c>
      <c r="BQ81" s="167">
        <f t="shared" si="54"/>
        <v>9</v>
      </c>
      <c r="BR81" s="167">
        <f t="shared" si="55"/>
        <v>9</v>
      </c>
      <c r="BS81" s="167">
        <f t="shared" si="56"/>
        <v>9</v>
      </c>
      <c r="BV81" s="167"/>
      <c r="BW81" s="167"/>
      <c r="BX81" s="230"/>
      <c r="BY81" s="167"/>
      <c r="BZ81" s="688"/>
      <c r="CA81" s="167"/>
      <c r="CD81" s="99"/>
      <c r="CF81" s="689"/>
    </row>
    <row r="82" spans="1:84" x14ac:dyDescent="0.25">
      <c r="A82" s="96">
        <v>74</v>
      </c>
      <c r="C82" s="712" t="s">
        <v>140</v>
      </c>
      <c r="D82" s="711"/>
      <c r="E82" s="948"/>
      <c r="F82" s="948"/>
      <c r="G82" s="948"/>
      <c r="H82" s="948"/>
      <c r="I82" s="948"/>
      <c r="J82" s="948"/>
      <c r="K82" s="948"/>
      <c r="L82" s="948"/>
      <c r="M82" s="948"/>
      <c r="N82" s="948"/>
      <c r="O82" s="948"/>
      <c r="P82" s="948"/>
      <c r="Q82" s="948"/>
      <c r="S82" s="970"/>
      <c r="T82" s="712"/>
      <c r="U82" s="711"/>
      <c r="V82" s="1115"/>
      <c r="W82" s="711"/>
      <c r="X82" s="969"/>
      <c r="Y82" s="168"/>
      <c r="Z82" s="970"/>
      <c r="AA82" s="971"/>
      <c r="AC82" s="171">
        <f t="shared" si="135"/>
        <v>0</v>
      </c>
      <c r="AD82" s="974"/>
      <c r="AE82" s="974"/>
      <c r="AF82" s="974"/>
      <c r="AH82" s="731"/>
      <c r="AI82" s="731"/>
      <c r="AJ82" s="731"/>
      <c r="AL82" s="291"/>
      <c r="AM82" s="181"/>
      <c r="AN82" s="181"/>
      <c r="AO82" s="181"/>
      <c r="AP82" s="186"/>
      <c r="AR82" s="291"/>
      <c r="AS82" s="181"/>
      <c r="AT82" s="181"/>
      <c r="AU82" s="181"/>
      <c r="AV82" s="186"/>
      <c r="AX82" s="182"/>
      <c r="AY82" s="183"/>
      <c r="AZ82" s="183"/>
      <c r="BA82" s="183"/>
      <c r="BB82" s="187"/>
      <c r="BC82" s="182">
        <f t="shared" si="158"/>
        <v>9</v>
      </c>
      <c r="BD82" s="164" t="str">
        <f t="shared" si="138"/>
        <v>N/A</v>
      </c>
      <c r="BE82" s="185"/>
      <c r="BF82" s="182">
        <f t="shared" si="159"/>
        <v>9</v>
      </c>
      <c r="BG82" s="164" t="str">
        <f t="shared" si="140"/>
        <v>N/A</v>
      </c>
      <c r="BH82" s="185"/>
      <c r="BI82" s="182">
        <f t="shared" si="160"/>
        <v>9</v>
      </c>
      <c r="BJ82" s="164" t="str">
        <f t="shared" si="141"/>
        <v>N/A</v>
      </c>
      <c r="BK82" s="185"/>
      <c r="BN82" s="167"/>
      <c r="BO82" s="167"/>
      <c r="BP82" s="167" t="str">
        <f t="shared" si="156"/>
        <v/>
      </c>
      <c r="BQ82" s="167">
        <f t="shared" si="54"/>
        <v>9</v>
      </c>
      <c r="BR82" s="167">
        <f t="shared" si="55"/>
        <v>9</v>
      </c>
      <c r="BS82" s="167">
        <f t="shared" si="56"/>
        <v>9</v>
      </c>
      <c r="BV82" s="167" t="str">
        <f>C82</f>
        <v>Ene 04</v>
      </c>
      <c r="BW82" s="167" t="str">
        <f>IFERROR(VLOOKUP($D82,'Pre-Assessment Estimator'!$E$11:$AB$224,'Pre-Assessment Estimator'!AB$2,FALSE),"")</f>
        <v/>
      </c>
      <c r="BX82" s="167" t="str">
        <f>IFERROR(VLOOKUP($D82,'Pre-Assessment Estimator'!$E$11:$AI$224,'Pre-Assessment Estimator'!AI$2,FALSE),"")</f>
        <v/>
      </c>
      <c r="BY82" s="167" t="str">
        <f>IFERROR(VLOOKUP($BW82,$D$291:$G$324,E$289,FALSE),"")</f>
        <v/>
      </c>
      <c r="BZ82" s="167" t="str">
        <f>IFERROR(VLOOKUP($BW82,$D$291:$G$324,F$289,FALSE),"")</f>
        <v/>
      </c>
      <c r="CA82" s="167"/>
      <c r="CB82" s="96" t="str">
        <f>IFERROR(VLOOKUP($BW82,$D$291:$G$324,H$289,FALSE),"")</f>
        <v/>
      </c>
    </row>
    <row r="83" spans="1:84" x14ac:dyDescent="0.25">
      <c r="A83" s="96">
        <v>75</v>
      </c>
      <c r="B83" s="137" t="str">
        <f>C83</f>
        <v>Ene 05</v>
      </c>
      <c r="C83" s="847" t="s">
        <v>141</v>
      </c>
      <c r="D83" s="845" t="s">
        <v>132</v>
      </c>
      <c r="E83" s="947">
        <f t="shared" ref="E83:Q83" si="162">SUM(E84:E85)</f>
        <v>2</v>
      </c>
      <c r="F83" s="947">
        <f t="shared" si="162"/>
        <v>2</v>
      </c>
      <c r="G83" s="947">
        <f t="shared" si="162"/>
        <v>0</v>
      </c>
      <c r="H83" s="947">
        <f t="shared" si="162"/>
        <v>2</v>
      </c>
      <c r="I83" s="947">
        <f t="shared" si="162"/>
        <v>2</v>
      </c>
      <c r="J83" s="947">
        <f t="shared" si="162"/>
        <v>2</v>
      </c>
      <c r="K83" s="947">
        <f t="shared" si="162"/>
        <v>2</v>
      </c>
      <c r="L83" s="947">
        <f t="shared" si="162"/>
        <v>2</v>
      </c>
      <c r="M83" s="947">
        <f t="shared" si="162"/>
        <v>2</v>
      </c>
      <c r="N83" s="947">
        <f t="shared" si="162"/>
        <v>2</v>
      </c>
      <c r="O83" s="947">
        <f t="shared" si="162"/>
        <v>2</v>
      </c>
      <c r="P83" s="947">
        <f t="shared" ref="P83" si="163">SUM(P84:P85)</f>
        <v>2</v>
      </c>
      <c r="Q83" s="947">
        <f t="shared" si="162"/>
        <v>2</v>
      </c>
      <c r="S83" s="977">
        <f t="shared" ref="S83:S94" si="164">HLOOKUP($D$6,$E$9:$Q$231,$A83,FALSE)</f>
        <v>2</v>
      </c>
      <c r="T83" s="222">
        <f>T84+T85</f>
        <v>0</v>
      </c>
      <c r="U83" s="230"/>
      <c r="V83" s="230"/>
      <c r="W83" s="230">
        <f>'Manuell filtrering og justering'!E33</f>
        <v>0</v>
      </c>
      <c r="X83" s="230"/>
      <c r="Y83" s="972">
        <f t="shared" ref="Y83" si="165">SUM(Y84:Y85)</f>
        <v>0</v>
      </c>
      <c r="Z83" s="977">
        <f t="shared" ref="Z83:Z94" si="166">IF(SUM(T83:X83)&gt;S83,S83,SUM(T83:X83))</f>
        <v>0</v>
      </c>
      <c r="AA83" s="1081">
        <f t="shared" ref="AA83" si="167">SUM(AA84:AA85)</f>
        <v>2</v>
      </c>
      <c r="AC83" s="171">
        <f t="shared" si="135"/>
        <v>1.0370370370370372E-2</v>
      </c>
      <c r="AD83" s="935">
        <f>SUM(AD84:AD85)</f>
        <v>0</v>
      </c>
      <c r="AE83" s="935">
        <f t="shared" ref="AE83:AF83" si="168">SUM(AE84:AE85)</f>
        <v>0</v>
      </c>
      <c r="AF83" s="935">
        <f t="shared" si="168"/>
        <v>0</v>
      </c>
      <c r="AH83" s="972">
        <f t="shared" ref="AH83:AJ83" si="169">SUM(AH84:AH85)</f>
        <v>0</v>
      </c>
      <c r="AI83" s="972">
        <f t="shared" si="169"/>
        <v>0</v>
      </c>
      <c r="AJ83" s="972">
        <f t="shared" si="169"/>
        <v>0</v>
      </c>
      <c r="AK83" s="96" t="s">
        <v>428</v>
      </c>
      <c r="AL83" s="292"/>
      <c r="AM83" s="293"/>
      <c r="AN83" s="293"/>
      <c r="AO83" s="293"/>
      <c r="AP83" s="294"/>
      <c r="AR83" s="292"/>
      <c r="AS83" s="293"/>
      <c r="AT83" s="293"/>
      <c r="AU83" s="293"/>
      <c r="AV83" s="294"/>
      <c r="AX83" s="188"/>
      <c r="AY83" s="189"/>
      <c r="AZ83" s="189"/>
      <c r="BA83" s="189"/>
      <c r="BB83" s="190"/>
      <c r="BC83" s="182">
        <f t="shared" si="158"/>
        <v>9</v>
      </c>
      <c r="BD83" s="164" t="str">
        <f t="shared" si="138"/>
        <v>N/A</v>
      </c>
      <c r="BE83" s="185"/>
      <c r="BF83" s="182">
        <f t="shared" si="159"/>
        <v>9</v>
      </c>
      <c r="BG83" s="164" t="str">
        <f t="shared" si="140"/>
        <v>N/A</v>
      </c>
      <c r="BH83" s="185"/>
      <c r="BI83" s="182">
        <f t="shared" si="160"/>
        <v>9</v>
      </c>
      <c r="BJ83" s="164" t="str">
        <f t="shared" si="141"/>
        <v>N/A</v>
      </c>
      <c r="BK83" s="185"/>
      <c r="BN83" s="167"/>
      <c r="BO83" s="167"/>
      <c r="BP83" s="167" t="str">
        <f t="shared" si="156"/>
        <v/>
      </c>
      <c r="BQ83" s="167">
        <f t="shared" si="54"/>
        <v>9</v>
      </c>
      <c r="BR83" s="167">
        <f t="shared" si="55"/>
        <v>9</v>
      </c>
      <c r="BS83" s="167">
        <f t="shared" si="56"/>
        <v>9</v>
      </c>
      <c r="BV83" s="167" t="str">
        <f>C83</f>
        <v>Ene 05</v>
      </c>
      <c r="BW83" s="167" t="str">
        <f>IFERROR(VLOOKUP($D83,'Pre-Assessment Estimator'!$E$11:$AB$224,'Pre-Assessment Estimator'!AB$2,FALSE),"")</f>
        <v>No</v>
      </c>
      <c r="BX83" s="230" t="str">
        <f>IFERROR(VLOOKUP($D83,'Pre-Assessment Estimator'!$E$11:$AI$224,'Pre-Assessment Estimator'!AI$2,FALSE),"")</f>
        <v>Ja</v>
      </c>
      <c r="BY83" s="167">
        <f>IFERROR(VLOOKUP($BW83,$D$291:$G$324,E$289,FALSE),"")</f>
        <v>1</v>
      </c>
      <c r="BZ83" s="688" t="s">
        <v>433</v>
      </c>
      <c r="CA83" s="167"/>
      <c r="CB83" s="96" t="str">
        <f>IFERROR(VLOOKUP($BW83,$D$291:$G$324,H$289,FALSE),"")</f>
        <v/>
      </c>
      <c r="CC83" s="96" t="s">
        <v>406</v>
      </c>
      <c r="CD83" s="167">
        <f>VLOOKUP(BZ83,$BZ$4:$CA$5,2,FALSE)</f>
        <v>1</v>
      </c>
      <c r="CF83" s="689">
        <f>IF($BW$5=ais_no,CD83,IF(AND(BZ83=$BZ$4,BW83=$CB$4),0,BY83))</f>
        <v>1</v>
      </c>
    </row>
    <row r="84" spans="1:84" x14ac:dyDescent="0.25">
      <c r="A84" s="96">
        <v>76</v>
      </c>
      <c r="B84" s="96" t="str">
        <f t="shared" ref="B84:B85" si="170">$C$83&amp;C84</f>
        <v>Ene 05a</v>
      </c>
      <c r="C84" s="163" t="s">
        <v>696</v>
      </c>
      <c r="D84" s="1138" t="s">
        <v>633</v>
      </c>
      <c r="E84" s="788">
        <v>1</v>
      </c>
      <c r="F84" s="788">
        <v>1</v>
      </c>
      <c r="G84" s="788">
        <v>0</v>
      </c>
      <c r="H84" s="788">
        <v>1</v>
      </c>
      <c r="I84" s="788">
        <v>1</v>
      </c>
      <c r="J84" s="788">
        <v>1</v>
      </c>
      <c r="K84" s="788">
        <v>1</v>
      </c>
      <c r="L84" s="788">
        <v>1</v>
      </c>
      <c r="M84" s="788">
        <v>1</v>
      </c>
      <c r="N84" s="788">
        <v>1</v>
      </c>
      <c r="O84" s="788">
        <v>1</v>
      </c>
      <c r="P84" s="788">
        <v>1</v>
      </c>
      <c r="Q84" s="788">
        <v>1</v>
      </c>
      <c r="S84" s="221">
        <f t="shared" si="164"/>
        <v>1</v>
      </c>
      <c r="T84" s="222">
        <f>IF(AD_refrig=AD_no,S84,0)</f>
        <v>0</v>
      </c>
      <c r="U84" s="167"/>
      <c r="V84" s="167"/>
      <c r="W84" s="167"/>
      <c r="X84" s="169">
        <f>IF($X$4=$X$6,S84,0)</f>
        <v>0</v>
      </c>
      <c r="Y84" s="168">
        <f>VLOOKUP(B84,'Manuell filtrering og justering'!$A$7:$H$107,'Manuell filtrering og justering'!$H$1,FALSE)</f>
        <v>0</v>
      </c>
      <c r="Z84" s="169">
        <f t="shared" si="166"/>
        <v>0</v>
      </c>
      <c r="AA84" s="170">
        <f>IF($AB$5='Manuell filtrering og justering'!$J$2,Y84,(S84-Z84))</f>
        <v>1</v>
      </c>
      <c r="AC84" s="171">
        <f t="shared" si="135"/>
        <v>5.1851851851851859E-3</v>
      </c>
      <c r="AD84" s="171">
        <f t="shared" si="143"/>
        <v>0</v>
      </c>
      <c r="AE84" s="171">
        <f t="shared" si="144"/>
        <v>0</v>
      </c>
      <c r="AF84" s="171">
        <f t="shared" si="145"/>
        <v>0</v>
      </c>
      <c r="AH84" s="172">
        <f>IF(VLOOKUP(D84,'Pre-Assessment Estimator'!$E$11:$Z$224,'Pre-Assessment Estimator'!$G$2,FALSE)&gt;AA84,AA84,VLOOKUP(D84,'Pre-Assessment Estimator'!$E$11:$Z$224,'Pre-Assessment Estimator'!$G$2,FALSE))</f>
        <v>0</v>
      </c>
      <c r="AI84" s="172">
        <f>IF(VLOOKUP(D84,'Pre-Assessment Estimator'!$E$11:$Z$224,'Pre-Assessment Estimator'!$N$2,FALSE)&gt;AA84,AA84,VLOOKUP(D84,'Pre-Assessment Estimator'!$E$11:$Z$224,'Pre-Assessment Estimator'!$N$2,FALSE))</f>
        <v>0</v>
      </c>
      <c r="AJ84" s="172">
        <f>IF(VLOOKUP(D84,'Pre-Assessment Estimator'!$E$11:$Z$224,'Pre-Assessment Estimator'!$U$2,FALSE)&gt;AA84,AA84,VLOOKUP(D84,'Pre-Assessment Estimator'!$E$11:$Z$224,'Pre-Assessment Estimator'!$U$2,FALSE))</f>
        <v>0</v>
      </c>
      <c r="AL84" s="292"/>
      <c r="AM84" s="293"/>
      <c r="AN84" s="293"/>
      <c r="AO84" s="293"/>
      <c r="AP84" s="294"/>
      <c r="AR84" s="292"/>
      <c r="AS84" s="293"/>
      <c r="AT84" s="293"/>
      <c r="AU84" s="293"/>
      <c r="AV84" s="294"/>
      <c r="AX84" s="188"/>
      <c r="AY84" s="189"/>
      <c r="AZ84" s="189"/>
      <c r="BA84" s="189"/>
      <c r="BB84" s="190"/>
      <c r="BC84" s="182">
        <f t="shared" si="158"/>
        <v>9</v>
      </c>
      <c r="BD84" s="164" t="str">
        <f t="shared" si="138"/>
        <v>N/A</v>
      </c>
      <c r="BE84" s="185"/>
      <c r="BF84" s="182">
        <f t="shared" si="159"/>
        <v>9</v>
      </c>
      <c r="BG84" s="164" t="str">
        <f t="shared" si="140"/>
        <v>N/A</v>
      </c>
      <c r="BH84" s="185"/>
      <c r="BI84" s="182">
        <f t="shared" si="160"/>
        <v>9</v>
      </c>
      <c r="BJ84" s="164" t="str">
        <f t="shared" si="141"/>
        <v>N/A</v>
      </c>
      <c r="BK84" s="185"/>
      <c r="BN84" s="167"/>
      <c r="BO84" s="167"/>
      <c r="BP84" s="167" t="str">
        <f t="shared" si="156"/>
        <v/>
      </c>
      <c r="BQ84" s="167">
        <f t="shared" si="54"/>
        <v>9</v>
      </c>
      <c r="BR84" s="167">
        <f t="shared" si="55"/>
        <v>9</v>
      </c>
      <c r="BS84" s="167">
        <f t="shared" si="56"/>
        <v>9</v>
      </c>
      <c r="BV84" s="167"/>
      <c r="BW84" s="167"/>
      <c r="BX84" s="230"/>
      <c r="BY84" s="167"/>
      <c r="BZ84" s="688"/>
      <c r="CA84" s="167"/>
      <c r="CD84" s="99"/>
      <c r="CF84" s="689"/>
    </row>
    <row r="85" spans="1:84" x14ac:dyDescent="0.25">
      <c r="A85" s="96">
        <v>77</v>
      </c>
      <c r="B85" s="96" t="str">
        <f t="shared" si="170"/>
        <v>Ene 05b</v>
      </c>
      <c r="C85" s="163" t="s">
        <v>699</v>
      </c>
      <c r="D85" s="1138" t="s">
        <v>634</v>
      </c>
      <c r="E85" s="788">
        <v>1</v>
      </c>
      <c r="F85" s="788">
        <v>1</v>
      </c>
      <c r="G85" s="788">
        <v>0</v>
      </c>
      <c r="H85" s="788">
        <v>1</v>
      </c>
      <c r="I85" s="788">
        <v>1</v>
      </c>
      <c r="J85" s="788">
        <v>1</v>
      </c>
      <c r="K85" s="788">
        <v>1</v>
      </c>
      <c r="L85" s="788">
        <v>1</v>
      </c>
      <c r="M85" s="788">
        <v>1</v>
      </c>
      <c r="N85" s="788">
        <v>1</v>
      </c>
      <c r="O85" s="788">
        <v>1</v>
      </c>
      <c r="P85" s="788">
        <v>1</v>
      </c>
      <c r="Q85" s="788">
        <v>1</v>
      </c>
      <c r="S85" s="221">
        <f t="shared" si="164"/>
        <v>1</v>
      </c>
      <c r="T85" s="222">
        <f>IF(AD_refrig=AD_no,S85,0)</f>
        <v>0</v>
      </c>
      <c r="U85" s="167"/>
      <c r="V85" s="167"/>
      <c r="W85" s="167"/>
      <c r="X85" s="169">
        <f>IF($X$4=$X$6,S85,0)</f>
        <v>0</v>
      </c>
      <c r="Y85" s="168">
        <f>VLOOKUP(B85,'Manuell filtrering og justering'!$A$7:$H$107,'Manuell filtrering og justering'!$H$1,FALSE)</f>
        <v>0</v>
      </c>
      <c r="Z85" s="169">
        <f t="shared" si="166"/>
        <v>0</v>
      </c>
      <c r="AA85" s="170">
        <f>IF($AB$5='Manuell filtrering og justering'!$J$2,Y85,(S85-Z85))</f>
        <v>1</v>
      </c>
      <c r="AC85" s="171">
        <f t="shared" si="135"/>
        <v>5.1851851851851859E-3</v>
      </c>
      <c r="AD85" s="171">
        <f t="shared" si="143"/>
        <v>0</v>
      </c>
      <c r="AE85" s="171">
        <f t="shared" si="144"/>
        <v>0</v>
      </c>
      <c r="AF85" s="171">
        <f t="shared" si="145"/>
        <v>0</v>
      </c>
      <c r="AH85" s="172">
        <f>IF(VLOOKUP(D85,'Pre-Assessment Estimator'!$E$11:$Z$224,'Pre-Assessment Estimator'!$G$2,FALSE)&gt;AA85,AA85,VLOOKUP(D85,'Pre-Assessment Estimator'!$E$11:$Z$224,'Pre-Assessment Estimator'!$G$2,FALSE))</f>
        <v>0</v>
      </c>
      <c r="AI85" s="172">
        <f>IF(VLOOKUP(D85,'Pre-Assessment Estimator'!$E$11:$Z$224,'Pre-Assessment Estimator'!$N$2,FALSE)&gt;AA85,AA85,VLOOKUP(D85,'Pre-Assessment Estimator'!$E$11:$Z$224,'Pre-Assessment Estimator'!$N$2,FALSE))</f>
        <v>0</v>
      </c>
      <c r="AJ85" s="172">
        <f>IF(VLOOKUP(D85,'Pre-Assessment Estimator'!$E$11:$Z$224,'Pre-Assessment Estimator'!$U$2,FALSE)&gt;AA85,AA85,VLOOKUP(D85,'Pre-Assessment Estimator'!$E$11:$Z$224,'Pre-Assessment Estimator'!$U$2,FALSE))</f>
        <v>0</v>
      </c>
      <c r="AL85" s="292"/>
      <c r="AM85" s="293"/>
      <c r="AN85" s="293"/>
      <c r="AO85" s="293"/>
      <c r="AP85" s="294"/>
      <c r="AR85" s="292"/>
      <c r="AS85" s="293"/>
      <c r="AT85" s="293"/>
      <c r="AU85" s="293"/>
      <c r="AV85" s="294"/>
      <c r="AX85" s="188"/>
      <c r="AY85" s="189"/>
      <c r="AZ85" s="189"/>
      <c r="BA85" s="189"/>
      <c r="BB85" s="190"/>
      <c r="BC85" s="182">
        <f t="shared" si="158"/>
        <v>9</v>
      </c>
      <c r="BD85" s="164" t="str">
        <f t="shared" si="138"/>
        <v>N/A</v>
      </c>
      <c r="BE85" s="185"/>
      <c r="BF85" s="182">
        <f t="shared" si="159"/>
        <v>9</v>
      </c>
      <c r="BG85" s="164" t="str">
        <f t="shared" si="140"/>
        <v>N/A</v>
      </c>
      <c r="BH85" s="185"/>
      <c r="BI85" s="182">
        <f t="shared" si="160"/>
        <v>9</v>
      </c>
      <c r="BJ85" s="164" t="str">
        <f t="shared" si="141"/>
        <v>N/A</v>
      </c>
      <c r="BK85" s="185"/>
      <c r="BN85" s="167"/>
      <c r="BO85" s="167"/>
      <c r="BP85" s="167" t="str">
        <f t="shared" si="156"/>
        <v/>
      </c>
      <c r="BQ85" s="167">
        <f t="shared" si="54"/>
        <v>9</v>
      </c>
      <c r="BR85" s="167">
        <f t="shared" si="55"/>
        <v>9</v>
      </c>
      <c r="BS85" s="167">
        <f t="shared" si="56"/>
        <v>9</v>
      </c>
      <c r="BV85" s="167"/>
      <c r="BW85" s="167"/>
      <c r="BX85" s="230"/>
      <c r="BY85" s="167"/>
      <c r="BZ85" s="688"/>
      <c r="CA85" s="167"/>
      <c r="CD85" s="99"/>
      <c r="CF85" s="689"/>
    </row>
    <row r="86" spans="1:84" x14ac:dyDescent="0.25">
      <c r="A86" s="96">
        <v>78</v>
      </c>
      <c r="B86" s="137" t="str">
        <f>C86</f>
        <v>Ene 06</v>
      </c>
      <c r="C86" s="847" t="s">
        <v>142</v>
      </c>
      <c r="D86" s="845" t="s">
        <v>133</v>
      </c>
      <c r="E86" s="947">
        <f t="shared" ref="E86:Q86" si="171">SUM(E87:E89)</f>
        <v>3</v>
      </c>
      <c r="F86" s="947">
        <f t="shared" si="171"/>
        <v>3</v>
      </c>
      <c r="G86" s="947">
        <f t="shared" si="171"/>
        <v>3</v>
      </c>
      <c r="H86" s="947">
        <f t="shared" si="171"/>
        <v>3</v>
      </c>
      <c r="I86" s="947">
        <f t="shared" si="171"/>
        <v>3</v>
      </c>
      <c r="J86" s="947">
        <f t="shared" si="171"/>
        <v>3</v>
      </c>
      <c r="K86" s="947">
        <f t="shared" si="171"/>
        <v>3</v>
      </c>
      <c r="L86" s="947">
        <f t="shared" si="171"/>
        <v>3</v>
      </c>
      <c r="M86" s="947">
        <f t="shared" si="171"/>
        <v>3</v>
      </c>
      <c r="N86" s="947">
        <f t="shared" si="171"/>
        <v>3</v>
      </c>
      <c r="O86" s="947">
        <f t="shared" si="171"/>
        <v>3</v>
      </c>
      <c r="P86" s="947">
        <f t="shared" ref="P86" si="172">SUM(P87:P89)</f>
        <v>3</v>
      </c>
      <c r="Q86" s="947">
        <f t="shared" si="171"/>
        <v>3</v>
      </c>
      <c r="S86" s="977">
        <f t="shared" si="164"/>
        <v>3</v>
      </c>
      <c r="T86" s="230">
        <f>T87+T88+T89</f>
        <v>0</v>
      </c>
      <c r="U86" s="230"/>
      <c r="V86" s="230"/>
      <c r="W86" s="230">
        <f>'Manuell filtrering og justering'!E34</f>
        <v>0</v>
      </c>
      <c r="X86" s="230"/>
      <c r="Y86" s="972">
        <f t="shared" ref="Y86" si="173">SUM(Y87:Y89)</f>
        <v>2</v>
      </c>
      <c r="Z86" s="977">
        <f t="shared" si="166"/>
        <v>0</v>
      </c>
      <c r="AA86" s="1081">
        <f>SUM(AA87:AA89)</f>
        <v>3</v>
      </c>
      <c r="AC86" s="171">
        <f t="shared" si="135"/>
        <v>1.5555555555555559E-2</v>
      </c>
      <c r="AD86" s="935">
        <f>SUM(AD87:AD89)</f>
        <v>0</v>
      </c>
      <c r="AE86" s="935">
        <f t="shared" ref="AE86:AF86" si="174">SUM(AE87:AE89)</f>
        <v>0</v>
      </c>
      <c r="AF86" s="935">
        <f t="shared" si="174"/>
        <v>0</v>
      </c>
      <c r="AH86" s="972">
        <f t="shared" ref="AH86:AJ86" si="175">SUM(AH87:AH89)</f>
        <v>0</v>
      </c>
      <c r="AI86" s="972">
        <f t="shared" si="175"/>
        <v>0</v>
      </c>
      <c r="AJ86" s="972">
        <f t="shared" si="175"/>
        <v>0</v>
      </c>
      <c r="AL86" s="292"/>
      <c r="AM86" s="293"/>
      <c r="AN86" s="293"/>
      <c r="AO86" s="293"/>
      <c r="AP86" s="294"/>
      <c r="AR86" s="292"/>
      <c r="AS86" s="293"/>
      <c r="AT86" s="293"/>
      <c r="AU86" s="293"/>
      <c r="AV86" s="294"/>
      <c r="AX86" s="188"/>
      <c r="AY86" s="189"/>
      <c r="AZ86" s="189"/>
      <c r="BA86" s="189"/>
      <c r="BB86" s="190"/>
      <c r="BC86" s="182">
        <f t="shared" si="158"/>
        <v>9</v>
      </c>
      <c r="BD86" s="164" t="str">
        <f t="shared" si="138"/>
        <v>N/A</v>
      </c>
      <c r="BE86" s="185"/>
      <c r="BF86" s="182">
        <f t="shared" si="159"/>
        <v>9</v>
      </c>
      <c r="BG86" s="164" t="str">
        <f t="shared" si="140"/>
        <v>N/A</v>
      </c>
      <c r="BH86" s="185"/>
      <c r="BI86" s="182">
        <f t="shared" si="160"/>
        <v>9</v>
      </c>
      <c r="BJ86" s="164" t="str">
        <f t="shared" si="141"/>
        <v>N/A</v>
      </c>
      <c r="BK86" s="185"/>
      <c r="BN86" s="167"/>
      <c r="BO86" s="167"/>
      <c r="BP86" s="167" t="str">
        <f t="shared" si="156"/>
        <v/>
      </c>
      <c r="BQ86" s="167">
        <f t="shared" si="54"/>
        <v>9</v>
      </c>
      <c r="BR86" s="167">
        <f t="shared" si="55"/>
        <v>9</v>
      </c>
      <c r="BS86" s="167">
        <f t="shared" si="56"/>
        <v>9</v>
      </c>
      <c r="BV86" s="167" t="str">
        <f>C86</f>
        <v>Ene 06</v>
      </c>
      <c r="BW86" s="167" t="str">
        <f>IFERROR(VLOOKUP($D86,'Pre-Assessment Estimator'!$E$11:$AB$224,'Pre-Assessment Estimator'!AB$2,FALSE),"")</f>
        <v>No</v>
      </c>
      <c r="BX86" s="167">
        <f>IFERROR(VLOOKUP($D86,'Pre-Assessment Estimator'!$E$11:$AI$224,'Pre-Assessment Estimator'!AI$2,FALSE),"")</f>
        <v>0</v>
      </c>
      <c r="BY86" s="167">
        <f>IFERROR(VLOOKUP($BW86,$D$291:$G$324,E$289,FALSE),"")</f>
        <v>1</v>
      </c>
      <c r="BZ86" s="167">
        <f>IFERROR(VLOOKUP($BW86,$D$291:$G$324,F$289,FALSE),"")</f>
        <v>0</v>
      </c>
      <c r="CA86" s="167"/>
      <c r="CB86" s="96" t="str">
        <f>IFERROR(VLOOKUP($BW86,$D$291:$G$324,H$289,FALSE),"")</f>
        <v/>
      </c>
    </row>
    <row r="87" spans="1:84" x14ac:dyDescent="0.25">
      <c r="A87" s="96">
        <v>79</v>
      </c>
      <c r="B87" s="96" t="str">
        <f t="shared" ref="B87:B89" si="176">$C$86&amp;C87</f>
        <v>Ene 06a</v>
      </c>
      <c r="C87" s="163" t="s">
        <v>696</v>
      </c>
      <c r="D87" s="1138" t="s">
        <v>896</v>
      </c>
      <c r="E87" s="788">
        <v>1</v>
      </c>
      <c r="F87" s="788">
        <v>1</v>
      </c>
      <c r="G87" s="788">
        <v>1</v>
      </c>
      <c r="H87" s="788">
        <v>1</v>
      </c>
      <c r="I87" s="788">
        <v>1</v>
      </c>
      <c r="J87" s="788">
        <v>1</v>
      </c>
      <c r="K87" s="788">
        <v>1</v>
      </c>
      <c r="L87" s="788">
        <v>1</v>
      </c>
      <c r="M87" s="788">
        <v>1</v>
      </c>
      <c r="N87" s="788">
        <v>1</v>
      </c>
      <c r="O87" s="788">
        <v>1</v>
      </c>
      <c r="P87" s="788">
        <v>1</v>
      </c>
      <c r="Q87" s="788">
        <v>1</v>
      </c>
      <c r="S87" s="221">
        <f t="shared" si="164"/>
        <v>1</v>
      </c>
      <c r="T87" s="222">
        <f>IF(AD_Trans=AD_no,Poeng!S87,0)</f>
        <v>0</v>
      </c>
      <c r="U87" s="167"/>
      <c r="V87" s="167"/>
      <c r="W87" s="167"/>
      <c r="X87" s="168"/>
      <c r="Y87" s="168">
        <f>VLOOKUP(B87,'Manuell filtrering og justering'!$A$7:$H$107,'Manuell filtrering og justering'!$H$1,FALSE)</f>
        <v>1</v>
      </c>
      <c r="Z87" s="169">
        <f t="shared" si="166"/>
        <v>0</v>
      </c>
      <c r="AA87" s="170">
        <f>IF($AB$5='Manuell filtrering og justering'!$J$2,Y87,(S87-Z87))</f>
        <v>1</v>
      </c>
      <c r="AC87" s="171">
        <f t="shared" si="135"/>
        <v>5.1851851851851859E-3</v>
      </c>
      <c r="AD87" s="171">
        <f t="shared" si="143"/>
        <v>0</v>
      </c>
      <c r="AE87" s="171">
        <f t="shared" si="144"/>
        <v>0</v>
      </c>
      <c r="AF87" s="171">
        <f t="shared" si="145"/>
        <v>0</v>
      </c>
      <c r="AH87" s="172">
        <f>IF(VLOOKUP(D87,'Pre-Assessment Estimator'!$E$11:$Z$224,'Pre-Assessment Estimator'!$G$2,FALSE)&gt;AA87,AA87,VLOOKUP(D87,'Pre-Assessment Estimator'!$E$11:$Z$224,'Pre-Assessment Estimator'!$G$2,FALSE))</f>
        <v>0</v>
      </c>
      <c r="AI87" s="172">
        <f>IF(VLOOKUP(D87,'Pre-Assessment Estimator'!$E$11:$Z$224,'Pre-Assessment Estimator'!$N$2,FALSE)&gt;AA87,AA87,VLOOKUP(D87,'Pre-Assessment Estimator'!$E$11:$Z$224,'Pre-Assessment Estimator'!$N$2,FALSE))</f>
        <v>0</v>
      </c>
      <c r="AJ87" s="172">
        <f>IF(VLOOKUP(D87,'Pre-Assessment Estimator'!$E$11:$Z$224,'Pre-Assessment Estimator'!$U$2,FALSE)&gt;AA87,AA87,VLOOKUP(D87,'Pre-Assessment Estimator'!$E$11:$Z$224,'Pre-Assessment Estimator'!$U$2,FALSE))</f>
        <v>0</v>
      </c>
      <c r="AL87" s="292"/>
      <c r="AM87" s="293"/>
      <c r="AN87" s="293"/>
      <c r="AO87" s="293"/>
      <c r="AP87" s="294"/>
      <c r="AR87" s="292"/>
      <c r="AS87" s="293"/>
      <c r="AT87" s="293"/>
      <c r="AU87" s="293"/>
      <c r="AV87" s="294"/>
      <c r="AX87" s="188"/>
      <c r="AY87" s="189"/>
      <c r="AZ87" s="189"/>
      <c r="BA87" s="189"/>
      <c r="BB87" s="190"/>
      <c r="BC87" s="182">
        <f t="shared" si="158"/>
        <v>9</v>
      </c>
      <c r="BD87" s="164" t="str">
        <f t="shared" si="138"/>
        <v>N/A</v>
      </c>
      <c r="BE87" s="185"/>
      <c r="BF87" s="182">
        <f t="shared" si="159"/>
        <v>9</v>
      </c>
      <c r="BG87" s="164" t="str">
        <f t="shared" si="140"/>
        <v>N/A</v>
      </c>
      <c r="BH87" s="185"/>
      <c r="BI87" s="182">
        <f t="shared" si="160"/>
        <v>9</v>
      </c>
      <c r="BJ87" s="164" t="str">
        <f t="shared" si="141"/>
        <v>N/A</v>
      </c>
      <c r="BK87" s="185"/>
      <c r="BN87" s="167"/>
      <c r="BO87" s="167"/>
      <c r="BP87" s="167" t="str">
        <f t="shared" si="156"/>
        <v/>
      </c>
      <c r="BQ87" s="167">
        <f t="shared" si="54"/>
        <v>9</v>
      </c>
      <c r="BR87" s="167">
        <f t="shared" si="55"/>
        <v>9</v>
      </c>
      <c r="BS87" s="167">
        <f t="shared" si="56"/>
        <v>9</v>
      </c>
      <c r="BV87" s="167"/>
      <c r="BW87" s="167"/>
      <c r="BX87" s="167"/>
      <c r="BY87" s="167"/>
      <c r="BZ87" s="167"/>
      <c r="CA87" s="167"/>
    </row>
    <row r="88" spans="1:84" x14ac:dyDescent="0.25">
      <c r="A88" s="96">
        <v>80</v>
      </c>
      <c r="B88" s="96" t="str">
        <f t="shared" si="176"/>
        <v>Ene 06b</v>
      </c>
      <c r="C88" s="163" t="s">
        <v>699</v>
      </c>
      <c r="D88" s="1138" t="s">
        <v>1011</v>
      </c>
      <c r="E88" s="788">
        <v>1</v>
      </c>
      <c r="F88" s="788">
        <v>1</v>
      </c>
      <c r="G88" s="788">
        <v>1</v>
      </c>
      <c r="H88" s="788">
        <v>1</v>
      </c>
      <c r="I88" s="788">
        <v>1</v>
      </c>
      <c r="J88" s="788">
        <v>1</v>
      </c>
      <c r="K88" s="788">
        <v>1</v>
      </c>
      <c r="L88" s="788">
        <v>1</v>
      </c>
      <c r="M88" s="788">
        <v>1</v>
      </c>
      <c r="N88" s="788">
        <v>1</v>
      </c>
      <c r="O88" s="788">
        <v>1</v>
      </c>
      <c r="P88" s="788">
        <v>1</v>
      </c>
      <c r="Q88" s="788">
        <v>1</v>
      </c>
      <c r="S88" s="221">
        <f t="shared" si="164"/>
        <v>1</v>
      </c>
      <c r="T88" s="222">
        <f>IF(OR(AD_Trans='Assessment Details'!R53,AD_Trans='Assessment Details'!Q53),Poeng!S88,0)</f>
        <v>0</v>
      </c>
      <c r="U88" s="167"/>
      <c r="V88" s="167"/>
      <c r="W88" s="167"/>
      <c r="X88" s="168"/>
      <c r="Y88" s="168">
        <f>VLOOKUP(B88,'Manuell filtrering og justering'!$A$7:$H$107,'Manuell filtrering og justering'!$H$1,FALSE)</f>
        <v>1</v>
      </c>
      <c r="Z88" s="169">
        <f t="shared" si="166"/>
        <v>0</v>
      </c>
      <c r="AA88" s="170">
        <f>IF($AB$5='Manuell filtrering og justering'!$J$2,Y88,(S88-Z88))</f>
        <v>1</v>
      </c>
      <c r="AC88" s="171">
        <f t="shared" ref="AC88" si="177">(Ene_Weight/Ene_Credits)*AA88</f>
        <v>5.1851851851851859E-3</v>
      </c>
      <c r="AD88" s="171">
        <f t="shared" ref="AD88" si="178">IF(AA88=0,0,(AC88/AA88)*AH88)</f>
        <v>0</v>
      </c>
      <c r="AE88" s="171">
        <f t="shared" ref="AE88" si="179">IF(AA88=0,0,(AC88/AA88)*AI88)</f>
        <v>0</v>
      </c>
      <c r="AF88" s="171">
        <f t="shared" ref="AF88" si="180">IF(AA88=0,0,(AC88/AA88)*AJ88)</f>
        <v>0</v>
      </c>
      <c r="AH88" s="172">
        <f>IF(VLOOKUP(D88,'Pre-Assessment Estimator'!$E$11:$Z$224,'Pre-Assessment Estimator'!$G$2,FALSE)&gt;AA88,AA88,VLOOKUP(D88,'Pre-Assessment Estimator'!$E$11:$Z$224,'Pre-Assessment Estimator'!$G$2,FALSE))</f>
        <v>0</v>
      </c>
      <c r="AI88" s="172">
        <f>IF(VLOOKUP(D88,'Pre-Assessment Estimator'!$E$11:$Z$224,'Pre-Assessment Estimator'!$N$2,FALSE)&gt;AA88,AA88,VLOOKUP(D88,'Pre-Assessment Estimator'!$E$11:$Z$224,'Pre-Assessment Estimator'!$N$2,FALSE))</f>
        <v>0</v>
      </c>
      <c r="AJ88" s="172">
        <f>IF(VLOOKUP(D88,'Pre-Assessment Estimator'!$E$11:$Z$224,'Pre-Assessment Estimator'!$U$2,FALSE)&gt;AA88,AA88,VLOOKUP(D88,'Pre-Assessment Estimator'!$E$11:$Z$224,'Pre-Assessment Estimator'!$U$2,FALSE))</f>
        <v>0</v>
      </c>
      <c r="AL88" s="292"/>
      <c r="AM88" s="293"/>
      <c r="AN88" s="293"/>
      <c r="AO88" s="293"/>
      <c r="AP88" s="294"/>
      <c r="AR88" s="292"/>
      <c r="AS88" s="293"/>
      <c r="AT88" s="293"/>
      <c r="AU88" s="293"/>
      <c r="AV88" s="294"/>
      <c r="AX88" s="188"/>
      <c r="AY88" s="189"/>
      <c r="AZ88" s="189"/>
      <c r="BA88" s="189"/>
      <c r="BB88" s="190"/>
      <c r="BC88" s="182">
        <f t="shared" ref="BC88" si="181">IF(BB88=0,9,IF((AH88-CF88)&gt;=BB88,5,IF((AH88-CF88)&gt;=BA88,4,IF((AH88-CF88)&gt;=AZ88,3,IF((AH88-CF88)&gt;=AY88,2,IF((AH88-CF88)&lt;AX88,0,1))))))</f>
        <v>9</v>
      </c>
      <c r="BD88" s="164" t="str">
        <f t="shared" si="138"/>
        <v>N/A</v>
      </c>
      <c r="BE88" s="185"/>
      <c r="BF88" s="182">
        <f t="shared" ref="BF88" si="182">IF(BB88=0,9,IF((AI88-CF88)&gt;=BB88,5,IF((AI88-CF88)&gt;=BA88,4,IF((AI88-CF88)&gt;=AZ88,3,IF((AI88-CF88)&gt;=AY88,2,IF((AI88-CF88)&lt;AX88,0,1))))))</f>
        <v>9</v>
      </c>
      <c r="BG88" s="164" t="str">
        <f t="shared" si="140"/>
        <v>N/A</v>
      </c>
      <c r="BH88" s="185"/>
      <c r="BI88" s="182">
        <f t="shared" ref="BI88" si="183">IF(BB88=0,9,IF((AJ88-CF88)&gt;=BB88,5,IF((AJ88-CF88)&gt;=BA88,4,IF((AJ88-CF88)&gt;=AZ88,3,IF((AJ88-CF88)&gt;=AY88,2,IF((AJ88-CF88)&lt;AX88,0,1))))))</f>
        <v>9</v>
      </c>
      <c r="BJ88" s="164" t="str">
        <f t="shared" si="141"/>
        <v>N/A</v>
      </c>
      <c r="BK88" s="185"/>
      <c r="BN88" s="167"/>
      <c r="BO88" s="167"/>
      <c r="BP88" s="167" t="str">
        <f t="shared" si="156"/>
        <v/>
      </c>
      <c r="BQ88" s="167">
        <f t="shared" si="54"/>
        <v>9</v>
      </c>
      <c r="BR88" s="167">
        <f t="shared" si="55"/>
        <v>9</v>
      </c>
      <c r="BS88" s="167">
        <f t="shared" si="56"/>
        <v>9</v>
      </c>
      <c r="BV88" s="167"/>
      <c r="BW88" s="167"/>
      <c r="BX88" s="167"/>
      <c r="BY88" s="167"/>
      <c r="BZ88" s="167"/>
      <c r="CA88" s="167"/>
    </row>
    <row r="89" spans="1:84" x14ac:dyDescent="0.25">
      <c r="A89" s="96">
        <v>81</v>
      </c>
      <c r="B89" s="96" t="str">
        <f t="shared" si="176"/>
        <v>Ene 06c</v>
      </c>
      <c r="C89" s="163" t="s">
        <v>700</v>
      </c>
      <c r="D89" s="1138" t="s">
        <v>1012</v>
      </c>
      <c r="E89" s="788">
        <v>1</v>
      </c>
      <c r="F89" s="788">
        <v>1</v>
      </c>
      <c r="G89" s="788">
        <v>1</v>
      </c>
      <c r="H89" s="788">
        <v>1</v>
      </c>
      <c r="I89" s="788">
        <v>1</v>
      </c>
      <c r="J89" s="788">
        <v>1</v>
      </c>
      <c r="K89" s="788">
        <v>1</v>
      </c>
      <c r="L89" s="788">
        <v>1</v>
      </c>
      <c r="M89" s="788">
        <v>1</v>
      </c>
      <c r="N89" s="788">
        <v>1</v>
      </c>
      <c r="O89" s="788">
        <v>1</v>
      </c>
      <c r="P89" s="788">
        <v>1</v>
      </c>
      <c r="Q89" s="788">
        <v>1</v>
      </c>
      <c r="S89" s="221">
        <f t="shared" si="164"/>
        <v>1</v>
      </c>
      <c r="T89" s="222">
        <f>IF(OR(AD_Trans='Assessment Details'!R53,AD_Trans='Assessment Details'!Q52),Poeng!S88,0)</f>
        <v>0</v>
      </c>
      <c r="U89" s="167"/>
      <c r="V89" s="167"/>
      <c r="W89" s="167"/>
      <c r="X89" s="168"/>
      <c r="Y89" s="168">
        <f>VLOOKUP(B89,'Manuell filtrering og justering'!$A$7:$H$107,'Manuell filtrering og justering'!$H$1,FALSE)</f>
        <v>0</v>
      </c>
      <c r="Z89" s="169">
        <f t="shared" si="166"/>
        <v>0</v>
      </c>
      <c r="AA89" s="170">
        <f>IF($AB$5='Manuell filtrering og justering'!$J$2,Y89,(S89-Z89))</f>
        <v>1</v>
      </c>
      <c r="AC89" s="171">
        <f t="shared" si="135"/>
        <v>5.1851851851851859E-3</v>
      </c>
      <c r="AD89" s="171">
        <f t="shared" si="143"/>
        <v>0</v>
      </c>
      <c r="AE89" s="171">
        <f t="shared" si="144"/>
        <v>0</v>
      </c>
      <c r="AF89" s="171">
        <f t="shared" si="145"/>
        <v>0</v>
      </c>
      <c r="AH89" s="172">
        <f>IF(VLOOKUP(D89,'Pre-Assessment Estimator'!$E$11:$Z$224,'Pre-Assessment Estimator'!$G$2,FALSE)&gt;AA89,AA89,VLOOKUP(D89,'Pre-Assessment Estimator'!$E$11:$Z$224,'Pre-Assessment Estimator'!$G$2,FALSE))</f>
        <v>0</v>
      </c>
      <c r="AI89" s="172">
        <f>IF(VLOOKUP(D89,'Pre-Assessment Estimator'!$E$11:$Z$224,'Pre-Assessment Estimator'!$N$2,FALSE)&gt;AA89,AA89,VLOOKUP(D89,'Pre-Assessment Estimator'!$E$11:$Z$224,'Pre-Assessment Estimator'!$N$2,FALSE))</f>
        <v>0</v>
      </c>
      <c r="AJ89" s="172">
        <f>IF(VLOOKUP(D89,'Pre-Assessment Estimator'!$E$11:$Z$224,'Pre-Assessment Estimator'!$U$2,FALSE)&gt;AA89,AA89,VLOOKUP(D89,'Pre-Assessment Estimator'!$E$11:$Z$224,'Pre-Assessment Estimator'!$U$2,FALSE))</f>
        <v>0</v>
      </c>
      <c r="AL89" s="292"/>
      <c r="AM89" s="293"/>
      <c r="AN89" s="293"/>
      <c r="AO89" s="293"/>
      <c r="AP89" s="294"/>
      <c r="AR89" s="292"/>
      <c r="AS89" s="293"/>
      <c r="AT89" s="293"/>
      <c r="AU89" s="293"/>
      <c r="AV89" s="294"/>
      <c r="AX89" s="188"/>
      <c r="AY89" s="189"/>
      <c r="AZ89" s="189"/>
      <c r="BA89" s="189"/>
      <c r="BB89" s="190"/>
      <c r="BC89" s="182">
        <f t="shared" si="158"/>
        <v>9</v>
      </c>
      <c r="BD89" s="164" t="str">
        <f t="shared" si="138"/>
        <v>N/A</v>
      </c>
      <c r="BE89" s="185"/>
      <c r="BF89" s="182">
        <f t="shared" si="159"/>
        <v>9</v>
      </c>
      <c r="BG89" s="164" t="str">
        <f t="shared" si="140"/>
        <v>N/A</v>
      </c>
      <c r="BH89" s="185"/>
      <c r="BI89" s="182">
        <f t="shared" si="160"/>
        <v>9</v>
      </c>
      <c r="BJ89" s="164" t="str">
        <f t="shared" si="141"/>
        <v>N/A</v>
      </c>
      <c r="BK89" s="185"/>
      <c r="BN89" s="167"/>
      <c r="BO89" s="167"/>
      <c r="BP89" s="167" t="str">
        <f t="shared" si="156"/>
        <v/>
      </c>
      <c r="BQ89" s="167">
        <f t="shared" si="54"/>
        <v>9</v>
      </c>
      <c r="BR89" s="167">
        <f t="shared" si="55"/>
        <v>9</v>
      </c>
      <c r="BS89" s="167">
        <f t="shared" si="56"/>
        <v>9</v>
      </c>
      <c r="BV89" s="167"/>
      <c r="BW89" s="167"/>
      <c r="BX89" s="167"/>
      <c r="BY89" s="167"/>
      <c r="BZ89" s="167"/>
      <c r="CA89" s="167"/>
    </row>
    <row r="90" spans="1:84" x14ac:dyDescent="0.25">
      <c r="A90" s="96">
        <v>82</v>
      </c>
      <c r="B90" s="137" t="str">
        <f>C90</f>
        <v>Ene 07</v>
      </c>
      <c r="C90" s="847" t="s">
        <v>143</v>
      </c>
      <c r="D90" s="845" t="s">
        <v>134</v>
      </c>
      <c r="E90" s="947">
        <f>SUM(E91:E92)</f>
        <v>5</v>
      </c>
      <c r="F90" s="947">
        <f>SUM(F91:F92)</f>
        <v>0</v>
      </c>
      <c r="G90" s="947">
        <f t="shared" ref="G90:O90" si="184">SUM(G91:G92)</f>
        <v>0</v>
      </c>
      <c r="H90" s="947">
        <f t="shared" si="184"/>
        <v>0</v>
      </c>
      <c r="I90" s="947">
        <f t="shared" si="184"/>
        <v>5</v>
      </c>
      <c r="J90" s="947">
        <f t="shared" si="184"/>
        <v>0</v>
      </c>
      <c r="K90" s="947">
        <f t="shared" si="184"/>
        <v>0</v>
      </c>
      <c r="L90" s="947">
        <f t="shared" si="184"/>
        <v>0</v>
      </c>
      <c r="M90" s="947">
        <f t="shared" si="184"/>
        <v>0</v>
      </c>
      <c r="N90" s="947">
        <f t="shared" si="184"/>
        <v>0</v>
      </c>
      <c r="O90" s="947">
        <f t="shared" si="184"/>
        <v>0</v>
      </c>
      <c r="P90" s="947">
        <f>SUM(P91:P92)</f>
        <v>5</v>
      </c>
      <c r="Q90" s="947">
        <f>SUM(Q91:Q92)</f>
        <v>5</v>
      </c>
      <c r="S90" s="977">
        <f t="shared" si="164"/>
        <v>5</v>
      </c>
      <c r="T90" s="230">
        <f>T91+T92</f>
        <v>0</v>
      </c>
      <c r="U90" s="230">
        <f>U91+U92</f>
        <v>0</v>
      </c>
      <c r="V90" s="230"/>
      <c r="W90" s="230"/>
      <c r="X90" s="230"/>
      <c r="Y90" s="972"/>
      <c r="Z90" s="977">
        <f t="shared" si="166"/>
        <v>0</v>
      </c>
      <c r="AA90" s="1081">
        <f t="shared" ref="AA90" si="185">SUM(AA91:AA92)</f>
        <v>5</v>
      </c>
      <c r="AC90" s="171">
        <f t="shared" si="135"/>
        <v>2.5925925925925929E-2</v>
      </c>
      <c r="AD90" s="935">
        <f>SUM(AD91:AD92)</f>
        <v>0</v>
      </c>
      <c r="AE90" s="935">
        <f t="shared" ref="AE90:AF90" si="186">SUM(AE91:AE92)</f>
        <v>0</v>
      </c>
      <c r="AF90" s="935">
        <f t="shared" si="186"/>
        <v>0</v>
      </c>
      <c r="AH90" s="972">
        <f t="shared" ref="AH90:AJ90" si="187">SUM(AH91:AH92)</f>
        <v>0</v>
      </c>
      <c r="AI90" s="972">
        <f t="shared" si="187"/>
        <v>0</v>
      </c>
      <c r="AJ90" s="972">
        <f t="shared" si="187"/>
        <v>0</v>
      </c>
      <c r="AL90" s="292"/>
      <c r="AM90" s="293"/>
      <c r="AN90" s="293"/>
      <c r="AO90" s="293"/>
      <c r="AP90" s="294"/>
      <c r="AR90" s="292"/>
      <c r="AS90" s="293"/>
      <c r="AT90" s="293"/>
      <c r="AU90" s="293"/>
      <c r="AV90" s="294"/>
      <c r="AX90" s="188"/>
      <c r="AY90" s="189"/>
      <c r="AZ90" s="189"/>
      <c r="BA90" s="189"/>
      <c r="BB90" s="190"/>
      <c r="BC90" s="182">
        <f t="shared" si="158"/>
        <v>9</v>
      </c>
      <c r="BD90" s="164" t="str">
        <f t="shared" si="138"/>
        <v>N/A</v>
      </c>
      <c r="BE90" s="185"/>
      <c r="BF90" s="182">
        <f t="shared" si="159"/>
        <v>9</v>
      </c>
      <c r="BG90" s="164" t="str">
        <f t="shared" si="140"/>
        <v>N/A</v>
      </c>
      <c r="BH90" s="185"/>
      <c r="BI90" s="182">
        <f t="shared" si="160"/>
        <v>9</v>
      </c>
      <c r="BJ90" s="164" t="str">
        <f t="shared" si="141"/>
        <v>N/A</v>
      </c>
      <c r="BK90" s="185"/>
      <c r="BN90" s="991"/>
      <c r="BO90" s="167"/>
      <c r="BP90" s="167" t="str">
        <f t="shared" si="156"/>
        <v/>
      </c>
      <c r="BQ90" s="167">
        <f t="shared" si="54"/>
        <v>9</v>
      </c>
      <c r="BR90" s="167">
        <f t="shared" si="55"/>
        <v>9</v>
      </c>
      <c r="BS90" s="167">
        <f t="shared" si="56"/>
        <v>9</v>
      </c>
      <c r="BV90" s="167" t="str">
        <f>C90</f>
        <v>Ene 07</v>
      </c>
      <c r="BW90" s="167" t="str">
        <f>IFERROR(VLOOKUP($D90,'Pre-Assessment Estimator'!$E$11:$AB$224,'Pre-Assessment Estimator'!AB$2,FALSE),"")</f>
        <v>N/A</v>
      </c>
      <c r="BX90" s="167">
        <f>IFERROR(VLOOKUP($D90,'Pre-Assessment Estimator'!$E$11:$AI$224,'Pre-Assessment Estimator'!AI$2,FALSE),"")</f>
        <v>0</v>
      </c>
      <c r="BY90" s="167">
        <f>IFERROR(VLOOKUP($BW90,$D$291:$G$324,E$289,FALSE),"")</f>
        <v>1</v>
      </c>
      <c r="BZ90" s="167">
        <f>IFERROR(VLOOKUP($BW90,$D$291:$G$324,F$289,FALSE),"")</f>
        <v>0</v>
      </c>
      <c r="CA90" s="167"/>
      <c r="CB90" s="96" t="str">
        <f>IFERROR(VLOOKUP($BW90,$D$291:$G$324,H$289,FALSE),"")</f>
        <v/>
      </c>
    </row>
    <row r="91" spans="1:84" x14ac:dyDescent="0.25">
      <c r="A91" s="96">
        <v>83</v>
      </c>
      <c r="B91" s="96" t="str">
        <f t="shared" ref="B91:B92" si="188">$C$90&amp;C91</f>
        <v>Ene 07a</v>
      </c>
      <c r="C91" s="163" t="s">
        <v>696</v>
      </c>
      <c r="D91" s="1138" t="s">
        <v>637</v>
      </c>
      <c r="E91" s="788">
        <v>1</v>
      </c>
      <c r="F91" s="1036">
        <v>0</v>
      </c>
      <c r="G91" s="1036">
        <v>0</v>
      </c>
      <c r="H91" s="1036">
        <v>0</v>
      </c>
      <c r="I91" s="788">
        <v>1</v>
      </c>
      <c r="J91" s="1036">
        <v>0</v>
      </c>
      <c r="K91" s="1036">
        <v>0</v>
      </c>
      <c r="L91" s="1036">
        <v>0</v>
      </c>
      <c r="M91" s="1036">
        <v>0</v>
      </c>
      <c r="N91" s="1036">
        <v>0</v>
      </c>
      <c r="O91" s="1036">
        <v>0</v>
      </c>
      <c r="P91" s="788">
        <v>1</v>
      </c>
      <c r="Q91" s="788">
        <v>1</v>
      </c>
      <c r="S91" s="221">
        <f t="shared" si="164"/>
        <v>1</v>
      </c>
      <c r="T91" s="230">
        <f>IF(AND('Assessment Details'!H21=1,AD_Labsize=AD_Labsize03),Poeng!S91,0)</f>
        <v>0</v>
      </c>
      <c r="U91" s="167">
        <f>IF(AND(ADBT0=ADBT8,OR('Assessment Details'!F6='Assessment Details'!U6,'Assessment Details'!F6='Assessment Details'!U7,'Assessment Details'!F6='Assessment Details'!U8,'Assessment Details'!F6='Assessment Details'!U9)),S91,0)</f>
        <v>0</v>
      </c>
      <c r="V91" s="167"/>
      <c r="W91" s="167"/>
      <c r="X91" s="169">
        <f>IF($X$4=$X$6,S91,0)</f>
        <v>0</v>
      </c>
      <c r="Y91" s="168">
        <f>VLOOKUP(B91,'Manuell filtrering og justering'!$A$7:$H$107,'Manuell filtrering og justering'!$H$1,FALSE)</f>
        <v>0</v>
      </c>
      <c r="Z91" s="169">
        <f t="shared" si="166"/>
        <v>0</v>
      </c>
      <c r="AA91" s="170">
        <f>IF($AB$5='Manuell filtrering og justering'!$J$2,Y91,(S91-Z91))</f>
        <v>1</v>
      </c>
      <c r="AC91" s="171">
        <f t="shared" si="135"/>
        <v>5.1851851851851859E-3</v>
      </c>
      <c r="AD91" s="171">
        <f t="shared" si="143"/>
        <v>0</v>
      </c>
      <c r="AE91" s="171">
        <f t="shared" si="144"/>
        <v>0</v>
      </c>
      <c r="AF91" s="171">
        <f t="shared" si="145"/>
        <v>0</v>
      </c>
      <c r="AH91" s="172">
        <f>IF(VLOOKUP(D91,'Pre-Assessment Estimator'!$E$11:$Z$224,'Pre-Assessment Estimator'!$G$2,FALSE)&gt;AA91,AA91,VLOOKUP(D91,'Pre-Assessment Estimator'!$E$11:$Z$224,'Pre-Assessment Estimator'!$G$2,FALSE))</f>
        <v>0</v>
      </c>
      <c r="AI91" s="172">
        <f>IF(VLOOKUP(D91,'Pre-Assessment Estimator'!$E$11:$Z$224,'Pre-Assessment Estimator'!$N$2,FALSE)&gt;AA91,AA91,VLOOKUP(D91,'Pre-Assessment Estimator'!$E$11:$Z$224,'Pre-Assessment Estimator'!$N$2,FALSE))</f>
        <v>0</v>
      </c>
      <c r="AJ91" s="172">
        <f>IF(VLOOKUP(D91,'Pre-Assessment Estimator'!$E$11:$Z$224,'Pre-Assessment Estimator'!$U$2,FALSE)&gt;AA91,AA91,VLOOKUP(D91,'Pre-Assessment Estimator'!$E$11:$Z$224,'Pre-Assessment Estimator'!$U$2,FALSE))</f>
        <v>0</v>
      </c>
      <c r="AL91" s="1210">
        <f>IF(AA91=0,0,IF(AND($X$4&lt;&gt;$X$3,X91&gt;0),0,1))</f>
        <v>1</v>
      </c>
      <c r="AM91" s="1211">
        <f>AL91</f>
        <v>1</v>
      </c>
      <c r="AN91" s="1211">
        <f>AL91</f>
        <v>1</v>
      </c>
      <c r="AO91" s="1211">
        <f>AL91</f>
        <v>1</v>
      </c>
      <c r="AP91" s="1212">
        <f>AL91</f>
        <v>1</v>
      </c>
      <c r="AR91" s="292"/>
      <c r="AS91" s="293"/>
      <c r="AT91" s="293"/>
      <c r="AU91" s="293"/>
      <c r="AV91" s="294"/>
      <c r="AX91" s="183">
        <f>IF($AA91=0,0,IF($D$6=$G$9,AR91,AL91))</f>
        <v>1</v>
      </c>
      <c r="AY91" s="183">
        <f>IF($AA91=0,0,IF($D$6=$G$9,AS91,AM91))</f>
        <v>1</v>
      </c>
      <c r="AZ91" s="183">
        <f>IF($AA91=0,0,IF($D$6=$G$9,AT91,AN91))</f>
        <v>1</v>
      </c>
      <c r="BA91" s="183">
        <f>IF($AA91=0,0,IF($D$6=$G$9,AU91,AO91))</f>
        <v>1</v>
      </c>
      <c r="BB91" s="183">
        <f>IF($AA91=0,0,IF($D$6=$G$9,AV91,AP91))</f>
        <v>1</v>
      </c>
      <c r="BC91" s="182">
        <f t="shared" si="158"/>
        <v>0</v>
      </c>
      <c r="BD91" s="164" t="str">
        <f t="shared" si="138"/>
        <v>Unclassified</v>
      </c>
      <c r="BE91" s="185"/>
      <c r="BF91" s="182">
        <f t="shared" si="159"/>
        <v>0</v>
      </c>
      <c r="BG91" s="164" t="str">
        <f t="shared" si="140"/>
        <v>Unclassified</v>
      </c>
      <c r="BH91" s="185"/>
      <c r="BI91" s="182">
        <f t="shared" si="160"/>
        <v>0</v>
      </c>
      <c r="BJ91" s="164" t="str">
        <f t="shared" si="141"/>
        <v>Unclassified</v>
      </c>
      <c r="BK91" s="185"/>
      <c r="BN91" s="991"/>
      <c r="BO91" s="167"/>
      <c r="BP91" s="167" t="str">
        <f t="shared" si="156"/>
        <v/>
      </c>
      <c r="BQ91" s="167">
        <f t="shared" si="54"/>
        <v>9</v>
      </c>
      <c r="BR91" s="167">
        <f t="shared" si="55"/>
        <v>9</v>
      </c>
      <c r="BS91" s="167">
        <f t="shared" si="56"/>
        <v>9</v>
      </c>
      <c r="BV91" s="167"/>
      <c r="BW91" s="167"/>
      <c r="BX91" s="167"/>
      <c r="BY91" s="167"/>
      <c r="BZ91" s="99"/>
      <c r="CA91" s="167"/>
    </row>
    <row r="92" spans="1:84" x14ac:dyDescent="0.25">
      <c r="A92" s="96">
        <v>84</v>
      </c>
      <c r="B92" s="96" t="str">
        <f t="shared" si="188"/>
        <v>Ene 07b</v>
      </c>
      <c r="C92" s="163" t="s">
        <v>699</v>
      </c>
      <c r="D92" s="1138" t="s">
        <v>638</v>
      </c>
      <c r="E92" s="788">
        <v>4</v>
      </c>
      <c r="F92" s="1036">
        <v>0</v>
      </c>
      <c r="G92" s="1036">
        <v>0</v>
      </c>
      <c r="H92" s="1036">
        <v>0</v>
      </c>
      <c r="I92" s="788">
        <v>4</v>
      </c>
      <c r="J92" s="1036">
        <v>0</v>
      </c>
      <c r="K92" s="1036">
        <v>0</v>
      </c>
      <c r="L92" s="1036">
        <v>0</v>
      </c>
      <c r="M92" s="1036">
        <v>0</v>
      </c>
      <c r="N92" s="1036">
        <v>0</v>
      </c>
      <c r="O92" s="1036">
        <v>0</v>
      </c>
      <c r="P92" s="788">
        <v>4</v>
      </c>
      <c r="Q92" s="788">
        <v>4</v>
      </c>
      <c r="S92" s="221">
        <f t="shared" si="164"/>
        <v>4</v>
      </c>
      <c r="T92" s="230">
        <f>IF(AD_Labsize=AD_Labsize03,Poeng!S92,IF(AD_Labsize=AD_labsize04,4,IF(AD_Labsize=AD_Labsize01,2,0)))</f>
        <v>0</v>
      </c>
      <c r="U92" s="167">
        <f>IF(AND(ADBT0=ADBT8,OR('Assessment Details'!F6='Assessment Details'!U6,'Assessment Details'!F6='Assessment Details'!U7,'Assessment Details'!F6='Assessment Details'!U8,'Assessment Details'!F6='Assessment Details'!U9)),S92,0)</f>
        <v>0</v>
      </c>
      <c r="V92" s="167"/>
      <c r="W92" s="167"/>
      <c r="X92" s="169">
        <f>IF($X$4=$X$6,S92,0)</f>
        <v>0</v>
      </c>
      <c r="Y92" s="168">
        <f>VLOOKUP(B92,'Manuell filtrering og justering'!$A$7:$H$107,'Manuell filtrering og justering'!$H$1,FALSE)</f>
        <v>0</v>
      </c>
      <c r="Z92" s="169">
        <f t="shared" si="166"/>
        <v>0</v>
      </c>
      <c r="AA92" s="170">
        <f>IF($AB$5='Manuell filtrering og justering'!$J$2,Y92,(S92-Z92))</f>
        <v>4</v>
      </c>
      <c r="AC92" s="171">
        <f t="shared" si="135"/>
        <v>2.0740740740740744E-2</v>
      </c>
      <c r="AD92" s="171">
        <f t="shared" si="143"/>
        <v>0</v>
      </c>
      <c r="AE92" s="171">
        <f t="shared" si="144"/>
        <v>0</v>
      </c>
      <c r="AF92" s="171">
        <f t="shared" si="145"/>
        <v>0</v>
      </c>
      <c r="AH92" s="172">
        <f>IF(VLOOKUP(D92,'Pre-Assessment Estimator'!$E$11:$Z$224,'Pre-Assessment Estimator'!$G$2,FALSE)&gt;AA92,AA92,VLOOKUP(D92,'Pre-Assessment Estimator'!$E$11:$Z$224,'Pre-Assessment Estimator'!$G$2,FALSE))</f>
        <v>0</v>
      </c>
      <c r="AI92" s="172">
        <f>IF(VLOOKUP(D92,'Pre-Assessment Estimator'!$E$11:$Z$224,'Pre-Assessment Estimator'!$N$2,FALSE)&gt;AA92,AA92,VLOOKUP(D92,'Pre-Assessment Estimator'!$E$11:$Z$224,'Pre-Assessment Estimator'!$N$2,FALSE))</f>
        <v>0</v>
      </c>
      <c r="AJ92" s="172">
        <f>IF(VLOOKUP(D92,'Pre-Assessment Estimator'!$E$11:$Z$224,'Pre-Assessment Estimator'!$U$2,FALSE)&gt;AA92,AA92,VLOOKUP(D92,'Pre-Assessment Estimator'!$E$11:$Z$224,'Pre-Assessment Estimator'!$U$2,FALSE))</f>
        <v>0</v>
      </c>
      <c r="AL92" s="292"/>
      <c r="AM92" s="293"/>
      <c r="AN92" s="293"/>
      <c r="AO92" s="293"/>
      <c r="AP92" s="294"/>
      <c r="AR92" s="292"/>
      <c r="AS92" s="293"/>
      <c r="AT92" s="293"/>
      <c r="AU92" s="293"/>
      <c r="AV92" s="294"/>
      <c r="AX92" s="188"/>
      <c r="AY92" s="189"/>
      <c r="AZ92" s="189"/>
      <c r="BA92" s="189"/>
      <c r="BB92" s="190"/>
      <c r="BC92" s="182">
        <f t="shared" si="158"/>
        <v>9</v>
      </c>
      <c r="BD92" s="164" t="str">
        <f t="shared" si="138"/>
        <v>N/A</v>
      </c>
      <c r="BE92" s="185"/>
      <c r="BF92" s="182">
        <f t="shared" si="159"/>
        <v>9</v>
      </c>
      <c r="BG92" s="164" t="str">
        <f t="shared" si="140"/>
        <v>N/A</v>
      </c>
      <c r="BH92" s="185"/>
      <c r="BI92" s="182">
        <f t="shared" si="160"/>
        <v>9</v>
      </c>
      <c r="BJ92" s="164" t="str">
        <f t="shared" si="141"/>
        <v>N/A</v>
      </c>
      <c r="BK92" s="185"/>
      <c r="BN92" s="991"/>
      <c r="BO92" s="167"/>
      <c r="BP92" s="167" t="str">
        <f t="shared" si="156"/>
        <v/>
      </c>
      <c r="BQ92" s="167">
        <f t="shared" si="54"/>
        <v>9</v>
      </c>
      <c r="BR92" s="167">
        <f t="shared" si="55"/>
        <v>9</v>
      </c>
      <c r="BS92" s="167">
        <f t="shared" si="56"/>
        <v>9</v>
      </c>
      <c r="BV92" s="167"/>
      <c r="BW92" s="167"/>
      <c r="BX92" s="167"/>
      <c r="BY92" s="167"/>
      <c r="BZ92" s="99"/>
      <c r="CA92" s="167"/>
    </row>
    <row r="93" spans="1:84" x14ac:dyDescent="0.25">
      <c r="A93" s="96">
        <v>85</v>
      </c>
      <c r="B93" s="137" t="str">
        <f>C93</f>
        <v>Ene 08</v>
      </c>
      <c r="C93" s="847" t="s">
        <v>144</v>
      </c>
      <c r="D93" s="845" t="s">
        <v>135</v>
      </c>
      <c r="E93" s="947">
        <f>SUM(E94)</f>
        <v>2</v>
      </c>
      <c r="F93" s="947">
        <f t="shared" ref="F93:Q93" si="189">SUM(F94)</f>
        <v>2</v>
      </c>
      <c r="G93" s="947">
        <f t="shared" si="189"/>
        <v>2</v>
      </c>
      <c r="H93" s="947">
        <f t="shared" si="189"/>
        <v>2</v>
      </c>
      <c r="I93" s="947">
        <f t="shared" si="189"/>
        <v>2</v>
      </c>
      <c r="J93" s="947">
        <f t="shared" si="189"/>
        <v>2</v>
      </c>
      <c r="K93" s="947">
        <f t="shared" si="189"/>
        <v>2</v>
      </c>
      <c r="L93" s="947">
        <f t="shared" si="189"/>
        <v>2</v>
      </c>
      <c r="M93" s="947">
        <f t="shared" si="189"/>
        <v>2</v>
      </c>
      <c r="N93" s="947">
        <f t="shared" si="189"/>
        <v>2</v>
      </c>
      <c r="O93" s="947">
        <f t="shared" si="189"/>
        <v>2</v>
      </c>
      <c r="P93" s="947">
        <f t="shared" si="189"/>
        <v>2</v>
      </c>
      <c r="Q93" s="947">
        <f t="shared" si="189"/>
        <v>2</v>
      </c>
      <c r="S93" s="977">
        <f t="shared" si="164"/>
        <v>2</v>
      </c>
      <c r="T93" s="222">
        <f>T94</f>
        <v>0</v>
      </c>
      <c r="U93" s="230"/>
      <c r="V93" s="230"/>
      <c r="W93" s="230">
        <f>'Manuell filtrering og justering'!E36</f>
        <v>0</v>
      </c>
      <c r="X93" s="230"/>
      <c r="Y93" s="972">
        <f t="shared" ref="Y93" si="190">SUM(Y94)</f>
        <v>2</v>
      </c>
      <c r="Z93" s="977">
        <f t="shared" si="166"/>
        <v>0</v>
      </c>
      <c r="AA93" s="1081">
        <f>SUM(AA94)</f>
        <v>2</v>
      </c>
      <c r="AC93" s="171">
        <f t="shared" si="135"/>
        <v>1.0370370370370372E-2</v>
      </c>
      <c r="AD93" s="935">
        <f>SUM(AD94)</f>
        <v>0</v>
      </c>
      <c r="AE93" s="935">
        <f t="shared" ref="AE93:AF93" si="191">SUM(AE94)</f>
        <v>0</v>
      </c>
      <c r="AF93" s="935">
        <f t="shared" si="191"/>
        <v>0</v>
      </c>
      <c r="AH93" s="972">
        <f t="shared" ref="AH93" si="192">SUM(AH94)</f>
        <v>0</v>
      </c>
      <c r="AI93" s="972">
        <f t="shared" ref="AI93" si="193">SUM(AI94)</f>
        <v>0</v>
      </c>
      <c r="AJ93" s="972">
        <f t="shared" ref="AJ93" si="194">SUM(AJ94)</f>
        <v>0</v>
      </c>
      <c r="AK93" s="96" t="s">
        <v>428</v>
      </c>
      <c r="AL93" s="292"/>
      <c r="AM93" s="293"/>
      <c r="AN93" s="293"/>
      <c r="AO93" s="293"/>
      <c r="AP93" s="294"/>
      <c r="AR93" s="292"/>
      <c r="AS93" s="293"/>
      <c r="AT93" s="293"/>
      <c r="AU93" s="293"/>
      <c r="AV93" s="294"/>
      <c r="AX93" s="188"/>
      <c r="AY93" s="189"/>
      <c r="AZ93" s="189"/>
      <c r="BA93" s="189"/>
      <c r="BB93" s="190"/>
      <c r="BC93" s="182">
        <f t="shared" si="158"/>
        <v>9</v>
      </c>
      <c r="BD93" s="164" t="str">
        <f t="shared" si="138"/>
        <v>N/A</v>
      </c>
      <c r="BE93" s="185"/>
      <c r="BF93" s="182">
        <f t="shared" si="159"/>
        <v>9</v>
      </c>
      <c r="BG93" s="164" t="str">
        <f t="shared" si="140"/>
        <v>N/A</v>
      </c>
      <c r="BH93" s="185"/>
      <c r="BI93" s="182">
        <f t="shared" si="160"/>
        <v>9</v>
      </c>
      <c r="BJ93" s="164" t="str">
        <f t="shared" si="141"/>
        <v>N/A</v>
      </c>
      <c r="BK93" s="185"/>
      <c r="BN93" s="167"/>
      <c r="BO93" s="167"/>
      <c r="BP93" s="167" t="str">
        <f t="shared" si="156"/>
        <v/>
      </c>
      <c r="BQ93" s="167">
        <f t="shared" si="54"/>
        <v>9</v>
      </c>
      <c r="BR93" s="167">
        <f t="shared" si="55"/>
        <v>9</v>
      </c>
      <c r="BS93" s="167">
        <f t="shared" si="56"/>
        <v>9</v>
      </c>
      <c r="BV93" s="167" t="str">
        <f>C93</f>
        <v>Ene 08</v>
      </c>
      <c r="BW93" s="167" t="str">
        <f>IFERROR(VLOOKUP($D93,'Pre-Assessment Estimator'!$E$11:$AB$224,'Pre-Assessment Estimator'!AB$2,FALSE),"")</f>
        <v>No</v>
      </c>
      <c r="BX93" s="230" t="str">
        <f>IFERROR(VLOOKUP($D93,'Pre-Assessment Estimator'!$E$11:$AI$224,'Pre-Assessment Estimator'!AI$2,FALSE),"")</f>
        <v>Ja</v>
      </c>
      <c r="BY93" s="167">
        <f>IFERROR(VLOOKUP($BW93,$D$291:$G$324,E$289,FALSE),"")</f>
        <v>1</v>
      </c>
      <c r="BZ93" s="688" t="s">
        <v>433</v>
      </c>
      <c r="CA93" s="167"/>
      <c r="CB93" s="96" t="str">
        <f>IFERROR(VLOOKUP($BW93,$D$291:$G$324,H$289,FALSE),"")</f>
        <v/>
      </c>
      <c r="CC93" s="96" t="s">
        <v>439</v>
      </c>
      <c r="CD93" s="167">
        <f t="shared" ref="CD93:CD95" si="195">VLOOKUP(BZ93,$BZ$4:$CA$5,2,FALSE)</f>
        <v>1</v>
      </c>
      <c r="CF93" s="689">
        <f>IF($BW$5=ais_no,CD93,IF(AND(BZ93=$BZ$4,BW93=$CB$4),0,BY93))</f>
        <v>1</v>
      </c>
    </row>
    <row r="94" spans="1:84" x14ac:dyDescent="0.25">
      <c r="A94" s="96">
        <v>86</v>
      </c>
      <c r="B94" s="96" t="str">
        <f>$C$93&amp;C94</f>
        <v>Ene 08a</v>
      </c>
      <c r="C94" s="166" t="s">
        <v>696</v>
      </c>
      <c r="D94" s="1138" t="s">
        <v>639</v>
      </c>
      <c r="E94" s="788">
        <v>2</v>
      </c>
      <c r="F94" s="788">
        <v>2</v>
      </c>
      <c r="G94" s="788">
        <v>2</v>
      </c>
      <c r="H94" s="788">
        <v>2</v>
      </c>
      <c r="I94" s="788">
        <v>2</v>
      </c>
      <c r="J94" s="788">
        <v>2</v>
      </c>
      <c r="K94" s="788">
        <v>2</v>
      </c>
      <c r="L94" s="788">
        <v>2</v>
      </c>
      <c r="M94" s="788">
        <v>2</v>
      </c>
      <c r="N94" s="788">
        <v>2</v>
      </c>
      <c r="O94" s="788">
        <v>2</v>
      </c>
      <c r="P94" s="788">
        <v>2</v>
      </c>
      <c r="Q94" s="788">
        <v>2</v>
      </c>
      <c r="S94" s="221">
        <f t="shared" si="164"/>
        <v>2</v>
      </c>
      <c r="T94" s="222">
        <f>IF(AD_Energyload=AD_no,Poeng!S94,0)</f>
        <v>0</v>
      </c>
      <c r="U94" s="167"/>
      <c r="V94" s="167"/>
      <c r="W94" s="167"/>
      <c r="X94" s="169">
        <f>IF($X$4=$X$6,S94,0)</f>
        <v>0</v>
      </c>
      <c r="Y94" s="168">
        <f>VLOOKUP(B94,'Manuell filtrering og justering'!$A$7:$H$107,'Manuell filtrering og justering'!$H$1,FALSE)</f>
        <v>2</v>
      </c>
      <c r="Z94" s="169">
        <f t="shared" si="166"/>
        <v>0</v>
      </c>
      <c r="AA94" s="170">
        <f>IF($AB$5='Manuell filtrering og justering'!$J$2,Y94,(S94-Z94))</f>
        <v>2</v>
      </c>
      <c r="AC94" s="171">
        <f t="shared" si="135"/>
        <v>1.0370370370370372E-2</v>
      </c>
      <c r="AD94" s="171">
        <f t="shared" si="143"/>
        <v>0</v>
      </c>
      <c r="AE94" s="171">
        <f t="shared" si="144"/>
        <v>0</v>
      </c>
      <c r="AF94" s="171">
        <f t="shared" si="145"/>
        <v>0</v>
      </c>
      <c r="AH94" s="172">
        <f>IF(VLOOKUP(D94,'Pre-Assessment Estimator'!$E$11:$Z$224,'Pre-Assessment Estimator'!$G$2,FALSE)&gt;AA94,AA94,VLOOKUP(D94,'Pre-Assessment Estimator'!$E$11:$Z$224,'Pre-Assessment Estimator'!$G$2,FALSE))</f>
        <v>0</v>
      </c>
      <c r="AI94" s="172">
        <f>IF(VLOOKUP(D94,'Pre-Assessment Estimator'!$E$11:$Z$224,'Pre-Assessment Estimator'!$N$2,FALSE)&gt;AA94,AA94,VLOOKUP(D94,'Pre-Assessment Estimator'!$E$11:$Z$224,'Pre-Assessment Estimator'!$N$2,FALSE))</f>
        <v>0</v>
      </c>
      <c r="AJ94" s="172">
        <f>IF(VLOOKUP(D94,'Pre-Assessment Estimator'!$E$11:$Z$224,'Pre-Assessment Estimator'!$U$2,FALSE)&gt;AA94,AA94,VLOOKUP(D94,'Pre-Assessment Estimator'!$E$11:$Z$224,'Pre-Assessment Estimator'!$U$2,FALSE))</f>
        <v>0</v>
      </c>
      <c r="AL94" s="292"/>
      <c r="AM94" s="293"/>
      <c r="AN94" s="293"/>
      <c r="AO94" s="293"/>
      <c r="AP94" s="294"/>
      <c r="AR94" s="292"/>
      <c r="AS94" s="293"/>
      <c r="AT94" s="293"/>
      <c r="AU94" s="293"/>
      <c r="AV94" s="294"/>
      <c r="AX94" s="188"/>
      <c r="AY94" s="189"/>
      <c r="AZ94" s="189"/>
      <c r="BA94" s="189"/>
      <c r="BB94" s="190"/>
      <c r="BC94" s="182">
        <f t="shared" si="158"/>
        <v>9</v>
      </c>
      <c r="BD94" s="164" t="str">
        <f t="shared" si="138"/>
        <v>N/A</v>
      </c>
      <c r="BE94" s="185"/>
      <c r="BF94" s="182">
        <f t="shared" si="159"/>
        <v>9</v>
      </c>
      <c r="BG94" s="164" t="str">
        <f t="shared" si="140"/>
        <v>N/A</v>
      </c>
      <c r="BH94" s="185"/>
      <c r="BI94" s="182">
        <f t="shared" si="160"/>
        <v>9</v>
      </c>
      <c r="BJ94" s="164" t="str">
        <f t="shared" si="141"/>
        <v>N/A</v>
      </c>
      <c r="BK94" s="185"/>
      <c r="BN94" s="167"/>
      <c r="BO94" s="167"/>
      <c r="BP94" s="167" t="str">
        <f t="shared" si="156"/>
        <v/>
      </c>
      <c r="BQ94" s="167">
        <f t="shared" si="54"/>
        <v>9</v>
      </c>
      <c r="BR94" s="167">
        <f t="shared" si="55"/>
        <v>9</v>
      </c>
      <c r="BS94" s="167">
        <f t="shared" si="56"/>
        <v>9</v>
      </c>
      <c r="BV94" s="167"/>
      <c r="BW94" s="167"/>
      <c r="BX94" s="230"/>
      <c r="BY94" s="167"/>
      <c r="BZ94" s="688"/>
      <c r="CA94" s="167"/>
      <c r="CD94" s="167"/>
      <c r="CF94" s="689"/>
    </row>
    <row r="95" spans="1:84" x14ac:dyDescent="0.25">
      <c r="A95" s="96">
        <v>87</v>
      </c>
      <c r="C95" s="712" t="s">
        <v>145</v>
      </c>
      <c r="D95" s="711"/>
      <c r="E95" s="948"/>
      <c r="F95" s="948"/>
      <c r="G95" s="948"/>
      <c r="H95" s="948"/>
      <c r="I95" s="948"/>
      <c r="J95" s="948"/>
      <c r="K95" s="948"/>
      <c r="L95" s="948"/>
      <c r="M95" s="948"/>
      <c r="N95" s="948"/>
      <c r="O95" s="948"/>
      <c r="P95" s="948"/>
      <c r="Q95" s="948"/>
      <c r="S95" s="970"/>
      <c r="T95" s="712"/>
      <c r="U95" s="711"/>
      <c r="V95" s="711"/>
      <c r="W95" s="711"/>
      <c r="X95" s="969"/>
      <c r="Y95" s="969"/>
      <c r="Z95" s="970"/>
      <c r="AA95" s="971"/>
      <c r="AC95" s="171">
        <f t="shared" si="135"/>
        <v>0</v>
      </c>
      <c r="AD95" s="974">
        <f t="shared" si="143"/>
        <v>0</v>
      </c>
      <c r="AE95" s="974">
        <f t="shared" si="144"/>
        <v>0</v>
      </c>
      <c r="AF95" s="974">
        <f t="shared" si="145"/>
        <v>0</v>
      </c>
      <c r="AH95" s="731"/>
      <c r="AI95" s="731"/>
      <c r="AJ95" s="731"/>
      <c r="AK95" s="96" t="s">
        <v>428</v>
      </c>
      <c r="AL95" s="292"/>
      <c r="AM95" s="293"/>
      <c r="AN95" s="293"/>
      <c r="AO95" s="293"/>
      <c r="AP95" s="294"/>
      <c r="AQ95" s="139"/>
      <c r="AR95" s="292"/>
      <c r="AS95" s="293"/>
      <c r="AT95" s="293"/>
      <c r="AU95" s="293"/>
      <c r="AV95" s="294"/>
      <c r="AX95" s="188"/>
      <c r="AY95" s="189"/>
      <c r="AZ95" s="189"/>
      <c r="BA95" s="189"/>
      <c r="BB95" s="190"/>
      <c r="BC95" s="182">
        <f t="shared" si="158"/>
        <v>9</v>
      </c>
      <c r="BD95" s="164" t="str">
        <f t="shared" si="138"/>
        <v>N/A</v>
      </c>
      <c r="BE95" s="185"/>
      <c r="BF95" s="182">
        <f t="shared" si="159"/>
        <v>9</v>
      </c>
      <c r="BG95" s="164" t="str">
        <f t="shared" si="140"/>
        <v>N/A</v>
      </c>
      <c r="BH95" s="185"/>
      <c r="BI95" s="182">
        <f t="shared" si="160"/>
        <v>9</v>
      </c>
      <c r="BJ95" s="164" t="str">
        <f t="shared" si="141"/>
        <v>N/A</v>
      </c>
      <c r="BK95" s="185"/>
      <c r="BN95" s="167"/>
      <c r="BO95" s="167"/>
      <c r="BP95" s="167" t="str">
        <f t="shared" si="156"/>
        <v/>
      </c>
      <c r="BQ95" s="167">
        <f t="shared" ref="BQ95:BQ158" si="196">IF(BP95="",9,(IF(AH95&gt;=BP95,5,0)))</f>
        <v>9</v>
      </c>
      <c r="BR95" s="167">
        <f t="shared" ref="BR95:BR158" si="197">IF(BP95="",9,(IF(AI95&gt;=BP95,5,0)))</f>
        <v>9</v>
      </c>
      <c r="BS95" s="167">
        <f t="shared" ref="BS95:BS158" si="198">IF(BP95="",9,(IF(AJ95&gt;=BP95,5,0)))</f>
        <v>9</v>
      </c>
      <c r="BV95" s="167" t="str">
        <f>C95</f>
        <v>Ene 09</v>
      </c>
      <c r="BW95" s="167" t="str">
        <f>IFERROR(VLOOKUP($D95,'Pre-Assessment Estimator'!$E$11:$AB$224,'Pre-Assessment Estimator'!AB$2,FALSE),"")</f>
        <v/>
      </c>
      <c r="BX95" s="230" t="str">
        <f>IFERROR(VLOOKUP($D95,'Pre-Assessment Estimator'!$E$11:$AI$224,'Pre-Assessment Estimator'!AI$2,FALSE),"")</f>
        <v/>
      </c>
      <c r="BY95" s="167" t="str">
        <f t="shared" ref="BY95:BY100" si="199">IFERROR(VLOOKUP($BW95,$D$291:$G$324,E$289,FALSE),"")</f>
        <v/>
      </c>
      <c r="BZ95" s="688" t="s">
        <v>433</v>
      </c>
      <c r="CA95" s="167"/>
      <c r="CB95" s="96" t="str">
        <f t="shared" ref="CB95:CB100" si="200">IFERROR(VLOOKUP($BW95,$D$291:$G$324,H$289,FALSE),"")</f>
        <v/>
      </c>
      <c r="CC95" s="689" t="s">
        <v>407</v>
      </c>
      <c r="CD95" s="167">
        <f t="shared" si="195"/>
        <v>1</v>
      </c>
      <c r="CF95" s="689">
        <f>IF($BW$5=ais_no,CD95,IF(CC95=$BX$5,IF(AND(BZ95=$BZ$4,BW95=$CB$4),0,BY95),CD95))</f>
        <v>1</v>
      </c>
    </row>
    <row r="96" spans="1:84" ht="15.75" thickBot="1" x14ac:dyDescent="0.3">
      <c r="A96" s="96">
        <v>88</v>
      </c>
      <c r="C96" s="712" t="s">
        <v>146</v>
      </c>
      <c r="D96" s="711"/>
      <c r="E96" s="948"/>
      <c r="F96" s="948"/>
      <c r="G96" s="948"/>
      <c r="H96" s="948"/>
      <c r="I96" s="948"/>
      <c r="J96" s="948"/>
      <c r="K96" s="948"/>
      <c r="L96" s="948"/>
      <c r="M96" s="948"/>
      <c r="N96" s="948"/>
      <c r="O96" s="948"/>
      <c r="P96" s="948"/>
      <c r="Q96" s="948"/>
      <c r="S96" s="970"/>
      <c r="T96" s="712"/>
      <c r="U96" s="711"/>
      <c r="V96" s="711"/>
      <c r="W96" s="711"/>
      <c r="X96" s="969"/>
      <c r="Y96" s="969"/>
      <c r="Z96" s="970"/>
      <c r="AA96" s="971"/>
      <c r="AC96" s="171">
        <f t="shared" si="135"/>
        <v>0</v>
      </c>
      <c r="AD96" s="974">
        <f t="shared" si="143"/>
        <v>0</v>
      </c>
      <c r="AE96" s="974">
        <f t="shared" si="144"/>
        <v>0</v>
      </c>
      <c r="AF96" s="974">
        <f t="shared" si="145"/>
        <v>0</v>
      </c>
      <c r="AH96" s="731"/>
      <c r="AI96" s="731"/>
      <c r="AJ96" s="731"/>
      <c r="AL96" s="301"/>
      <c r="AM96" s="302"/>
      <c r="AN96" s="302"/>
      <c r="AO96" s="302"/>
      <c r="AP96" s="303"/>
      <c r="AQ96" s="139"/>
      <c r="AR96" s="301"/>
      <c r="AS96" s="302"/>
      <c r="AT96" s="302"/>
      <c r="AU96" s="302"/>
      <c r="AV96" s="303"/>
      <c r="AX96" s="198"/>
      <c r="AY96" s="224"/>
      <c r="AZ96" s="224"/>
      <c r="BA96" s="224"/>
      <c r="BB96" s="225"/>
      <c r="BC96" s="198">
        <f t="shared" si="59"/>
        <v>9</v>
      </c>
      <c r="BD96" s="164" t="str">
        <f t="shared" si="138"/>
        <v>N/A</v>
      </c>
      <c r="BE96" s="200"/>
      <c r="BF96" s="198">
        <f t="shared" si="139"/>
        <v>9</v>
      </c>
      <c r="BG96" s="164" t="str">
        <f t="shared" si="140"/>
        <v>N/A</v>
      </c>
      <c r="BH96" s="200"/>
      <c r="BI96" s="198">
        <f t="shared" si="27"/>
        <v>9</v>
      </c>
      <c r="BJ96" s="164" t="str">
        <f t="shared" si="141"/>
        <v>N/A</v>
      </c>
      <c r="BK96" s="200"/>
      <c r="BN96" s="167"/>
      <c r="BO96" s="167"/>
      <c r="BP96" s="167" t="str">
        <f t="shared" si="156"/>
        <v/>
      </c>
      <c r="BQ96" s="167">
        <f t="shared" si="196"/>
        <v>9</v>
      </c>
      <c r="BR96" s="167">
        <f t="shared" si="197"/>
        <v>9</v>
      </c>
      <c r="BS96" s="167">
        <f t="shared" si="198"/>
        <v>9</v>
      </c>
      <c r="BV96" s="167" t="str">
        <f>C96</f>
        <v>Ene 23</v>
      </c>
      <c r="BW96" s="167" t="str">
        <f>IFERROR(VLOOKUP($D96,'Pre-Assessment Estimator'!$E$11:$AB$224,'Pre-Assessment Estimator'!AB$2,FALSE),"")</f>
        <v/>
      </c>
      <c r="BX96" s="167" t="str">
        <f>IFERROR(VLOOKUP($D96,'Pre-Assessment Estimator'!$E$11:$AI$224,'Pre-Assessment Estimator'!AI$2,FALSE),"")</f>
        <v/>
      </c>
      <c r="BY96" s="167" t="str">
        <f t="shared" si="199"/>
        <v/>
      </c>
      <c r="BZ96" s="167" t="str">
        <f>IFERROR(VLOOKUP($BW96,$D$291:$G$324,F$289,FALSE),"")</f>
        <v/>
      </c>
      <c r="CA96" s="167"/>
      <c r="CB96" s="96" t="str">
        <f t="shared" si="200"/>
        <v/>
      </c>
    </row>
    <row r="97" spans="1:80" ht="15.75" thickBot="1" x14ac:dyDescent="0.3">
      <c r="A97" s="96">
        <v>89</v>
      </c>
      <c r="B97" s="96" t="s">
        <v>888</v>
      </c>
      <c r="C97" s="201"/>
      <c r="D97" s="202" t="s">
        <v>216</v>
      </c>
      <c r="E97" s="786">
        <f>E69+E75+E79+E83+E86+E90+E93</f>
        <v>27</v>
      </c>
      <c r="F97" s="786">
        <f t="shared" ref="F97:Q97" si="201">F69+F75+F79+F83+F86+F90+F93</f>
        <v>22</v>
      </c>
      <c r="G97" s="786">
        <f t="shared" si="201"/>
        <v>20</v>
      </c>
      <c r="H97" s="786">
        <f t="shared" si="201"/>
        <v>22</v>
      </c>
      <c r="I97" s="786">
        <f t="shared" si="201"/>
        <v>27</v>
      </c>
      <c r="J97" s="786">
        <f t="shared" si="201"/>
        <v>22</v>
      </c>
      <c r="K97" s="786">
        <f t="shared" si="201"/>
        <v>22</v>
      </c>
      <c r="L97" s="786">
        <f t="shared" si="201"/>
        <v>22</v>
      </c>
      <c r="M97" s="786">
        <f t="shared" si="201"/>
        <v>22</v>
      </c>
      <c r="N97" s="786">
        <f t="shared" si="201"/>
        <v>22</v>
      </c>
      <c r="O97" s="786">
        <f t="shared" si="201"/>
        <v>22</v>
      </c>
      <c r="P97" s="786">
        <f t="shared" ref="P97" si="202">P69+P75+P79+P83+P86+P90+P93</f>
        <v>27</v>
      </c>
      <c r="Q97" s="786">
        <f t="shared" si="201"/>
        <v>27</v>
      </c>
      <c r="S97" s="226">
        <f>HLOOKUP($D$6,$E$9:$Q$231,$A97,FALSE)</f>
        <v>27</v>
      </c>
      <c r="T97" s="204"/>
      <c r="U97" s="205"/>
      <c r="V97" s="205"/>
      <c r="W97" s="205"/>
      <c r="X97" s="206"/>
      <c r="Y97" s="206"/>
      <c r="Z97" s="786">
        <f t="shared" ref="Z97:AF97" si="203">Z69+Z75+Z79+Z83+Z86+Z90+Z93</f>
        <v>0</v>
      </c>
      <c r="AA97" s="786">
        <f t="shared" si="203"/>
        <v>27</v>
      </c>
      <c r="AC97" s="208">
        <f t="shared" si="203"/>
        <v>0.14000000000000001</v>
      </c>
      <c r="AD97" s="208">
        <f t="shared" si="203"/>
        <v>0</v>
      </c>
      <c r="AE97" s="208">
        <f t="shared" si="203"/>
        <v>0</v>
      </c>
      <c r="AF97" s="208">
        <f t="shared" si="203"/>
        <v>0</v>
      </c>
      <c r="AH97" s="78">
        <f t="shared" ref="AH97:AJ97" si="204">AH69+AH75+AH79+AH83+AH86+AH90+AH93</f>
        <v>0</v>
      </c>
      <c r="AI97" s="78">
        <f t="shared" si="204"/>
        <v>0</v>
      </c>
      <c r="AJ97" s="78">
        <f t="shared" si="204"/>
        <v>0</v>
      </c>
      <c r="AL97" s="139"/>
      <c r="AM97" s="139"/>
      <c r="AN97" s="139"/>
      <c r="AO97" s="139"/>
      <c r="AP97" s="139"/>
      <c r="AQ97" s="139"/>
      <c r="AR97" s="139"/>
      <c r="AS97" s="139"/>
      <c r="AT97" s="139"/>
      <c r="AU97" s="139"/>
      <c r="AV97" s="139"/>
      <c r="AX97" s="97"/>
      <c r="AY97" s="209"/>
      <c r="AZ97" s="97"/>
      <c r="BA97" s="97"/>
      <c r="BB97" s="97"/>
      <c r="BV97" s="202"/>
      <c r="BW97" s="202" t="str">
        <f>IFERROR(VLOOKUP($D97,'Pre-Assessment Estimator'!$E$11:$AB$224,'Pre-Assessment Estimator'!AB$2,FALSE),"")</f>
        <v/>
      </c>
      <c r="BX97" s="202" t="str">
        <f>IFERROR(VLOOKUP($D97,'Pre-Assessment Estimator'!$E$11:$AI$224,'Pre-Assessment Estimator'!AI$2,FALSE),"")</f>
        <v/>
      </c>
      <c r="BY97" s="202" t="str">
        <f t="shared" si="199"/>
        <v/>
      </c>
      <c r="BZ97" s="202" t="str">
        <f>IFERROR(VLOOKUP($BW97,$D$291:$G$324,F$289,FALSE),"")</f>
        <v/>
      </c>
      <c r="CA97" s="202"/>
      <c r="CB97" s="96" t="str">
        <f t="shared" si="200"/>
        <v/>
      </c>
    </row>
    <row r="98" spans="1:80" ht="15.75" thickBot="1" x14ac:dyDescent="0.3">
      <c r="A98" s="96">
        <v>90</v>
      </c>
      <c r="AH98" s="3"/>
      <c r="AI98" s="3"/>
      <c r="AJ98" s="3"/>
      <c r="AL98" s="139"/>
      <c r="AM98" s="139"/>
      <c r="AN98" s="139"/>
      <c r="AO98" s="139"/>
      <c r="AP98" s="139"/>
      <c r="AQ98" s="139"/>
      <c r="AR98" s="139"/>
      <c r="AS98" s="139"/>
      <c r="AT98" s="139"/>
      <c r="AU98" s="139"/>
      <c r="AV98" s="139"/>
      <c r="AX98" s="97"/>
      <c r="AY98" s="97"/>
      <c r="AZ98" s="97"/>
      <c r="BA98" s="97"/>
      <c r="BB98" s="97"/>
      <c r="BW98" s="96" t="str">
        <f>IFERROR(VLOOKUP($D98,'Pre-Assessment Estimator'!$E$11:$AB$224,'Pre-Assessment Estimator'!AB$2,FALSE),"")</f>
        <v/>
      </c>
      <c r="BX98" s="96" t="str">
        <f>IFERROR(VLOOKUP($D98,'Pre-Assessment Estimator'!$E$11:$AI$224,'Pre-Assessment Estimator'!AI$2,FALSE),"")</f>
        <v/>
      </c>
      <c r="BY98" s="96" t="str">
        <f t="shared" si="199"/>
        <v/>
      </c>
      <c r="BZ98" s="96" t="str">
        <f>IFERROR(VLOOKUP($BW98,$D$291:$G$324,F$289,FALSE),"")</f>
        <v/>
      </c>
      <c r="CB98" s="96" t="str">
        <f t="shared" si="200"/>
        <v/>
      </c>
    </row>
    <row r="99" spans="1:80" ht="60.75" thickBot="1" x14ac:dyDescent="0.3">
      <c r="A99" s="96">
        <v>91</v>
      </c>
      <c r="C99" s="145"/>
      <c r="D99" s="146" t="s">
        <v>69</v>
      </c>
      <c r="E99" s="778" t="str">
        <f>$E$9</f>
        <v>Office</v>
      </c>
      <c r="F99" s="778" t="str">
        <f>$F$9</f>
        <v>Retail</v>
      </c>
      <c r="G99" s="778" t="str">
        <f>$G$9</f>
        <v>Residential</v>
      </c>
      <c r="H99" s="778" t="str">
        <f>$H$9</f>
        <v>Industrial</v>
      </c>
      <c r="I99" s="778" t="str">
        <f>$I$9</f>
        <v>Healthcare</v>
      </c>
      <c r="J99" s="778" t="str">
        <f>$J$9</f>
        <v>Prison</v>
      </c>
      <c r="K99" s="778" t="str">
        <f>$K$9</f>
        <v>Law Court</v>
      </c>
      <c r="L99" s="778" t="str">
        <f>$L$9</f>
        <v>Residential institution (long term stay)</v>
      </c>
      <c r="M99" s="778" t="str">
        <f>$M$9</f>
        <v>Residential institution (short term stay)</v>
      </c>
      <c r="N99" s="778" t="str">
        <f>$N$9</f>
        <v>Non-residential institution</v>
      </c>
      <c r="O99" s="778" t="str">
        <f>$O$9</f>
        <v>Assembly and leisure</v>
      </c>
      <c r="P99" s="779" t="str">
        <f>$P$9</f>
        <v>Education</v>
      </c>
      <c r="Q99" s="779" t="str">
        <f>$Q$9</f>
        <v>Other</v>
      </c>
      <c r="S99" s="138" t="str">
        <f>$D$6</f>
        <v>Office</v>
      </c>
      <c r="T99" s="210"/>
      <c r="U99" s="211"/>
      <c r="V99" s="211"/>
      <c r="W99" s="211"/>
      <c r="X99" s="1182" t="s">
        <v>414</v>
      </c>
      <c r="Y99" s="347" t="s">
        <v>337</v>
      </c>
      <c r="Z99" s="150" t="s">
        <v>216</v>
      </c>
      <c r="AA99" s="59" t="s">
        <v>16</v>
      </c>
      <c r="AH99" s="42"/>
      <c r="AI99" s="60"/>
      <c r="AJ99" s="60"/>
      <c r="AL99" s="139"/>
      <c r="AM99" s="139"/>
      <c r="AN99" s="139"/>
      <c r="AO99" s="139"/>
      <c r="AP99" s="139"/>
      <c r="AQ99" s="139"/>
      <c r="AR99" s="139"/>
      <c r="AS99" s="139"/>
      <c r="AT99" s="139"/>
      <c r="AU99" s="139"/>
      <c r="AV99" s="139"/>
      <c r="AX99" s="97"/>
      <c r="AY99" s="97"/>
      <c r="AZ99" s="97"/>
      <c r="BA99" s="97"/>
      <c r="BB99" s="97"/>
      <c r="BN99" s="60"/>
      <c r="BO99" s="60"/>
      <c r="BP99" s="60"/>
      <c r="BQ99" s="60"/>
      <c r="BR99" s="60"/>
      <c r="BS99" s="60"/>
      <c r="BV99" s="146"/>
      <c r="BW99" s="146" t="str">
        <f>D99</f>
        <v>Transport</v>
      </c>
      <c r="BX99" s="146">
        <f>IFERROR(VLOOKUP($D99,'Pre-Assessment Estimator'!$E$11:$AI$224,'Pre-Assessment Estimator'!AI$2,FALSE),"")</f>
        <v>0</v>
      </c>
      <c r="BY99" s="146" t="str">
        <f t="shared" si="199"/>
        <v/>
      </c>
      <c r="BZ99" s="146" t="str">
        <f>IFERROR(VLOOKUP($BW99,$D$291:$G$324,F$289,FALSE),"")</f>
        <v/>
      </c>
      <c r="CA99" s="146"/>
      <c r="CB99" s="96" t="str">
        <f t="shared" si="200"/>
        <v/>
      </c>
    </row>
    <row r="100" spans="1:80" x14ac:dyDescent="0.25">
      <c r="A100" s="96">
        <v>92</v>
      </c>
      <c r="B100" s="137" t="str">
        <f>C100</f>
        <v>Tra 01</v>
      </c>
      <c r="C100" s="846" t="s">
        <v>149</v>
      </c>
      <c r="D100" s="844" t="s">
        <v>463</v>
      </c>
      <c r="E100" s="947">
        <f>SUM(E101:E102)</f>
        <v>3</v>
      </c>
      <c r="F100" s="947">
        <f t="shared" ref="F100:Q100" si="205">SUM(F101:F102)</f>
        <v>3</v>
      </c>
      <c r="G100" s="947">
        <f t="shared" si="205"/>
        <v>3</v>
      </c>
      <c r="H100" s="947">
        <f t="shared" si="205"/>
        <v>3</v>
      </c>
      <c r="I100" s="947">
        <f t="shared" si="205"/>
        <v>3</v>
      </c>
      <c r="J100" s="947">
        <f t="shared" si="205"/>
        <v>3</v>
      </c>
      <c r="K100" s="947">
        <f t="shared" si="205"/>
        <v>3</v>
      </c>
      <c r="L100" s="947">
        <f t="shared" si="205"/>
        <v>3</v>
      </c>
      <c r="M100" s="947">
        <f t="shared" si="205"/>
        <v>3</v>
      </c>
      <c r="N100" s="947">
        <f t="shared" si="205"/>
        <v>3</v>
      </c>
      <c r="O100" s="947">
        <f t="shared" si="205"/>
        <v>3</v>
      </c>
      <c r="P100" s="947">
        <f t="shared" ref="P100" si="206">SUM(P101:P102)</f>
        <v>3</v>
      </c>
      <c r="Q100" s="947">
        <f t="shared" si="205"/>
        <v>3</v>
      </c>
      <c r="S100" s="150">
        <f t="shared" ref="S100:S105" si="207">HLOOKUP($D$6,$E$9:$Q$231,$A100,FALSE)</f>
        <v>3</v>
      </c>
      <c r="T100" s="222"/>
      <c r="U100" s="230"/>
      <c r="V100" s="230"/>
      <c r="W100" s="230">
        <f>'Manuell filtrering og justering'!E43</f>
        <v>0</v>
      </c>
      <c r="X100" s="230"/>
      <c r="Y100" s="972">
        <f t="shared" ref="Y100" si="208">SUM(Y101:Y102)</f>
        <v>3</v>
      </c>
      <c r="Z100" s="977">
        <f t="shared" ref="Z100:Z105" si="209">IF(SUM(T100:X100)&gt;S100,S100,SUM(T100:X100))</f>
        <v>0</v>
      </c>
      <c r="AA100" s="1081">
        <f t="shared" ref="AA100" si="210">SUM(AA101:AA102)</f>
        <v>3</v>
      </c>
      <c r="AC100" s="171">
        <f t="shared" ref="AC100:AC109" si="211">(Tra_Weight/Tra_Credits)*AA100</f>
        <v>2.3076923076923078E-2</v>
      </c>
      <c r="AD100" s="935">
        <f>SUM(AD101:AD102)</f>
        <v>0</v>
      </c>
      <c r="AE100" s="935">
        <f t="shared" ref="AE100" si="212">SUM(AE101:AE102)</f>
        <v>0</v>
      </c>
      <c r="AF100" s="935">
        <f t="shared" ref="AF100" si="213">SUM(AF101:AF102)</f>
        <v>0</v>
      </c>
      <c r="AH100" s="972">
        <f t="shared" ref="AH100" si="214">SUM(AH101:AH102)</f>
        <v>0</v>
      </c>
      <c r="AI100" s="972">
        <f t="shared" ref="AI100" si="215">SUM(AI101:AI102)</f>
        <v>0</v>
      </c>
      <c r="AJ100" s="972">
        <f t="shared" ref="AJ100" si="216">SUM(AJ101:AJ102)</f>
        <v>0</v>
      </c>
      <c r="AL100" s="298"/>
      <c r="AM100" s="299"/>
      <c r="AN100" s="299"/>
      <c r="AO100" s="299"/>
      <c r="AP100" s="300"/>
      <c r="AQ100" s="139"/>
      <c r="AR100" s="298"/>
      <c r="AS100" s="299"/>
      <c r="AT100" s="299"/>
      <c r="AU100" s="299"/>
      <c r="AV100" s="300"/>
      <c r="AX100" s="218"/>
      <c r="AY100" s="219"/>
      <c r="AZ100" s="219"/>
      <c r="BA100" s="219"/>
      <c r="BB100" s="220"/>
      <c r="BC100" s="174">
        <f t="shared" si="59"/>
        <v>9</v>
      </c>
      <c r="BD100" s="164" t="str">
        <f t="shared" ref="BD100:BD109" si="217">VLOOKUP(BC100,$BN$282:$BS$288,6,FALSE)</f>
        <v>N/A</v>
      </c>
      <c r="BE100" s="178"/>
      <c r="BF100" s="174">
        <f t="shared" ref="BF100:BF109" si="218">IF(BB100=0,9,IF(AI100&gt;=BB100,5,IF(AI100&gt;=BA100,4,IF(AI100&gt;=AZ100,3,IF(AI100&gt;=AY100,2,IF(AI100&lt;AX100,0,1))))))</f>
        <v>9</v>
      </c>
      <c r="BG100" s="164" t="str">
        <f t="shared" ref="BG100:BG109" si="219">VLOOKUP(BF100,$BN$282:$BS$288,6,FALSE)</f>
        <v>N/A</v>
      </c>
      <c r="BH100" s="178"/>
      <c r="BI100" s="174">
        <f t="shared" si="27"/>
        <v>9</v>
      </c>
      <c r="BJ100" s="164" t="str">
        <f t="shared" ref="BJ100:BJ109" si="220">VLOOKUP(BI100,$BN$282:$BS$288,6,FALSE)</f>
        <v>N/A</v>
      </c>
      <c r="BK100" s="178"/>
      <c r="BN100" s="167"/>
      <c r="BO100" s="167"/>
      <c r="BP100" s="167" t="str">
        <f t="shared" si="156"/>
        <v/>
      </c>
      <c r="BQ100" s="167">
        <f t="shared" si="196"/>
        <v>9</v>
      </c>
      <c r="BR100" s="167">
        <f t="shared" si="197"/>
        <v>9</v>
      </c>
      <c r="BS100" s="167">
        <f t="shared" si="198"/>
        <v>9</v>
      </c>
      <c r="BV100" s="164" t="str">
        <f>C100</f>
        <v>Tra 01</v>
      </c>
      <c r="BW100" s="164" t="str">
        <f>IFERROR(VLOOKUP($D100,'Pre-Assessment Estimator'!$E$11:$AB$224,'Pre-Assessment Estimator'!AB$2,FALSE),"")</f>
        <v>N/A</v>
      </c>
      <c r="BX100" s="164">
        <f>IFERROR(VLOOKUP($D100,'Pre-Assessment Estimator'!$E$11:$AI$224,'Pre-Assessment Estimator'!AI$2,FALSE),"")</f>
        <v>0</v>
      </c>
      <c r="BY100" s="164">
        <f t="shared" si="199"/>
        <v>1</v>
      </c>
      <c r="BZ100" s="164">
        <f>IFERROR(VLOOKUP($BW100,$D$291:$G$324,F$289,FALSE),"")</f>
        <v>0</v>
      </c>
      <c r="CA100" s="164"/>
      <c r="CB100" s="96" t="str">
        <f t="shared" si="200"/>
        <v/>
      </c>
    </row>
    <row r="101" spans="1:80" x14ac:dyDescent="0.25">
      <c r="A101" s="96">
        <v>93</v>
      </c>
      <c r="B101" s="96" t="str">
        <f t="shared" ref="B101:B102" si="221">$C$100&amp;C101</f>
        <v>Tra 01a</v>
      </c>
      <c r="C101" s="163" t="s">
        <v>696</v>
      </c>
      <c r="D101" s="1138" t="s">
        <v>640</v>
      </c>
      <c r="E101" s="953">
        <v>2</v>
      </c>
      <c r="F101" s="953">
        <v>2</v>
      </c>
      <c r="G101" s="953">
        <v>2</v>
      </c>
      <c r="H101" s="953">
        <v>2</v>
      </c>
      <c r="I101" s="953">
        <v>2</v>
      </c>
      <c r="J101" s="953">
        <v>2</v>
      </c>
      <c r="K101" s="953">
        <v>2</v>
      </c>
      <c r="L101" s="953">
        <v>2</v>
      </c>
      <c r="M101" s="953">
        <v>2</v>
      </c>
      <c r="N101" s="953">
        <v>2</v>
      </c>
      <c r="O101" s="953">
        <v>2</v>
      </c>
      <c r="P101" s="953">
        <v>2</v>
      </c>
      <c r="Q101" s="953">
        <v>2</v>
      </c>
      <c r="S101" s="221">
        <f t="shared" si="207"/>
        <v>2</v>
      </c>
      <c r="T101" s="1038">
        <f>IF(AND(ADBT0=ADBT8,'Assessment Details'!F6='Assessment Details'!U7),S101,0)*0</f>
        <v>0</v>
      </c>
      <c r="U101" s="167"/>
      <c r="V101" s="167"/>
      <c r="W101" s="167"/>
      <c r="X101" s="168"/>
      <c r="Y101" s="168">
        <f>VLOOKUP(B101,'Manuell filtrering og justering'!$A$7:$H$107,'Manuell filtrering og justering'!$H$1,FALSE)</f>
        <v>2</v>
      </c>
      <c r="Z101" s="169">
        <f t="shared" si="209"/>
        <v>0</v>
      </c>
      <c r="AA101" s="170">
        <f>IF($AB$5='Manuell filtrering og justering'!$J$2,Y101,(S101-Z101))</f>
        <v>2</v>
      </c>
      <c r="AC101" s="171">
        <f t="shared" si="211"/>
        <v>1.5384615384615385E-2</v>
      </c>
      <c r="AD101" s="171">
        <f t="shared" ref="AD101:AD105" si="222">IF(AA101=0,0,(AC101/AA101)*AH101)</f>
        <v>0</v>
      </c>
      <c r="AE101" s="171">
        <f t="shared" ref="AE101:AE105" si="223">IF(AA101=0,0,(AC101/AA101)*AI101)</f>
        <v>0</v>
      </c>
      <c r="AF101" s="171">
        <f t="shared" ref="AF101:AF105" si="224">IF(AA101=0,0,(AC101/AA101)*AJ101)</f>
        <v>0</v>
      </c>
      <c r="AH101" s="172">
        <f>IF(VLOOKUP(D101,'Pre-Assessment Estimator'!$E$11:$Z$224,'Pre-Assessment Estimator'!$G$2,FALSE)&gt;AA101,AA101,VLOOKUP(D101,'Pre-Assessment Estimator'!$E$11:$Z$224,'Pre-Assessment Estimator'!$G$2,FALSE))</f>
        <v>0</v>
      </c>
      <c r="AI101" s="172">
        <f>IF(VLOOKUP(D101,'Pre-Assessment Estimator'!$E$11:$Z$224,'Pre-Assessment Estimator'!$N$2,FALSE)&gt;AA101,AA101,VLOOKUP(D101,'Pre-Assessment Estimator'!$E$11:$Z$224,'Pre-Assessment Estimator'!$N$2,FALSE))</f>
        <v>0</v>
      </c>
      <c r="AJ101" s="172">
        <f>IF(VLOOKUP(D101,'Pre-Assessment Estimator'!$E$11:$Z$224,'Pre-Assessment Estimator'!$U$2,FALSE)&gt;AA101,AA101,VLOOKUP(D101,'Pre-Assessment Estimator'!$E$11:$Z$224,'Pre-Assessment Estimator'!$U$2,FALSE))</f>
        <v>0</v>
      </c>
      <c r="AL101" s="848"/>
      <c r="AM101" s="849"/>
      <c r="AN101" s="849"/>
      <c r="AO101" s="849"/>
      <c r="AP101" s="850"/>
      <c r="AQ101" s="139"/>
      <c r="AR101" s="848"/>
      <c r="AS101" s="849"/>
      <c r="AT101" s="849"/>
      <c r="AU101" s="849"/>
      <c r="AV101" s="850"/>
      <c r="AX101" s="719"/>
      <c r="AY101" s="720"/>
      <c r="AZ101" s="720"/>
      <c r="BA101" s="720"/>
      <c r="BB101" s="851"/>
      <c r="BC101" s="182">
        <f t="shared" ref="BC101:BC105" si="225">IF(BB101=0,9,IF(AH101&gt;=BB101,5,IF(AH101&gt;=BA101,4,IF(AH101&gt;=AZ101,3,IF(AH101&gt;=AY101,2,IF(AH101&lt;AX101,0,1))))))</f>
        <v>9</v>
      </c>
      <c r="BD101" s="164" t="str">
        <f t="shared" si="217"/>
        <v>N/A</v>
      </c>
      <c r="BE101" s="185"/>
      <c r="BF101" s="182">
        <f t="shared" ref="BF101:BF105" si="226">IF(BB101=0,9,IF(AI101&gt;=BB101,5,IF(AI101&gt;=BA101,4,IF(AI101&gt;=AZ101,3,IF(AI101&gt;=AY101,2,IF(AI101&lt;AX101,0,1))))))</f>
        <v>9</v>
      </c>
      <c r="BG101" s="164" t="str">
        <f t="shared" si="219"/>
        <v>N/A</v>
      </c>
      <c r="BH101" s="185"/>
      <c r="BI101" s="182">
        <f t="shared" ref="BI101:BI105" si="227">IF(BB101=0,9,IF(AJ101&gt;=BB101,5,IF(AJ101&gt;=BA101,4,IF(AJ101&gt;=AZ101,3,IF(AJ101&gt;=AY101,2,IF(AJ101&lt;AX101,0,1))))))</f>
        <v>9</v>
      </c>
      <c r="BJ101" s="164" t="str">
        <f t="shared" si="220"/>
        <v>N/A</v>
      </c>
      <c r="BK101" s="843"/>
      <c r="BN101" s="167"/>
      <c r="BO101" s="167">
        <v>2</v>
      </c>
      <c r="BP101" s="167">
        <f t="shared" si="156"/>
        <v>2</v>
      </c>
      <c r="BQ101" s="167">
        <f t="shared" si="196"/>
        <v>0</v>
      </c>
      <c r="BR101" s="167">
        <f t="shared" si="197"/>
        <v>0</v>
      </c>
      <c r="BS101" s="167">
        <f t="shared" si="198"/>
        <v>0</v>
      </c>
      <c r="BV101" s="164"/>
      <c r="BW101" s="164"/>
      <c r="BX101" s="164"/>
      <c r="BY101" s="164"/>
      <c r="BZ101" s="164"/>
      <c r="CA101" s="164"/>
    </row>
    <row r="102" spans="1:80" x14ac:dyDescent="0.25">
      <c r="A102" s="96">
        <v>94</v>
      </c>
      <c r="B102" s="96" t="str">
        <f t="shared" si="221"/>
        <v>Tra 01b</v>
      </c>
      <c r="C102" s="163" t="s">
        <v>699</v>
      </c>
      <c r="D102" s="1138" t="s">
        <v>641</v>
      </c>
      <c r="E102" s="953">
        <v>1</v>
      </c>
      <c r="F102" s="953">
        <v>1</v>
      </c>
      <c r="G102" s="953">
        <v>1</v>
      </c>
      <c r="H102" s="953">
        <v>1</v>
      </c>
      <c r="I102" s="953">
        <v>1</v>
      </c>
      <c r="J102" s="953">
        <v>1</v>
      </c>
      <c r="K102" s="953">
        <v>1</v>
      </c>
      <c r="L102" s="953">
        <v>1</v>
      </c>
      <c r="M102" s="953">
        <v>1</v>
      </c>
      <c r="N102" s="953">
        <v>1</v>
      </c>
      <c r="O102" s="953">
        <v>1</v>
      </c>
      <c r="P102" s="953">
        <v>1</v>
      </c>
      <c r="Q102" s="953">
        <v>1</v>
      </c>
      <c r="S102" s="221">
        <f t="shared" si="207"/>
        <v>1</v>
      </c>
      <c r="T102" s="188"/>
      <c r="U102" s="167"/>
      <c r="V102" s="167"/>
      <c r="W102" s="167"/>
      <c r="X102" s="168"/>
      <c r="Y102" s="168">
        <f>VLOOKUP(B102,'Manuell filtrering og justering'!$A$7:$H$107,'Manuell filtrering og justering'!$H$1,FALSE)</f>
        <v>1</v>
      </c>
      <c r="Z102" s="169">
        <f t="shared" si="209"/>
        <v>0</v>
      </c>
      <c r="AA102" s="170">
        <f>IF($AB$5='Manuell filtrering og justering'!$J$2,Y102,(S102-Z102))</f>
        <v>1</v>
      </c>
      <c r="AC102" s="171">
        <f t="shared" si="211"/>
        <v>7.6923076923076927E-3</v>
      </c>
      <c r="AD102" s="171">
        <f t="shared" si="222"/>
        <v>0</v>
      </c>
      <c r="AE102" s="171">
        <f t="shared" si="223"/>
        <v>0</v>
      </c>
      <c r="AF102" s="171">
        <f t="shared" si="224"/>
        <v>0</v>
      </c>
      <c r="AH102" s="172">
        <f>IF(VLOOKUP(D102,'Pre-Assessment Estimator'!$E$11:$Z$224,'Pre-Assessment Estimator'!$G$2,FALSE)&gt;AA102,AA102,VLOOKUP(D102,'Pre-Assessment Estimator'!$E$11:$Z$224,'Pre-Assessment Estimator'!$G$2,FALSE))</f>
        <v>0</v>
      </c>
      <c r="AI102" s="172">
        <f>IF(VLOOKUP(D102,'Pre-Assessment Estimator'!$E$11:$Z$224,'Pre-Assessment Estimator'!$N$2,FALSE)&gt;AA102,AA102,VLOOKUP(D102,'Pre-Assessment Estimator'!$E$11:$Z$224,'Pre-Assessment Estimator'!$N$2,FALSE))</f>
        <v>0</v>
      </c>
      <c r="AJ102" s="172">
        <f>IF(VLOOKUP(D102,'Pre-Assessment Estimator'!$E$11:$Z$224,'Pre-Assessment Estimator'!$U$2,FALSE)&gt;AA102,AA102,VLOOKUP(D102,'Pre-Assessment Estimator'!$E$11:$Z$224,'Pre-Assessment Estimator'!$U$2,FALSE))</f>
        <v>0</v>
      </c>
      <c r="AL102" s="848"/>
      <c r="AM102" s="849"/>
      <c r="AN102" s="849"/>
      <c r="AO102" s="849">
        <v>1</v>
      </c>
      <c r="AP102" s="850">
        <v>1</v>
      </c>
      <c r="AQ102" s="139"/>
      <c r="AR102" s="848"/>
      <c r="AS102" s="849"/>
      <c r="AT102" s="849"/>
      <c r="AU102" s="849">
        <v>1</v>
      </c>
      <c r="AV102" s="850">
        <v>1</v>
      </c>
      <c r="AX102" s="719"/>
      <c r="AY102" s="720"/>
      <c r="AZ102" s="720"/>
      <c r="BA102" s="183">
        <f>IF($AA102=0,0,IF($D$6=$G$9,AU102,AO102))</f>
        <v>1</v>
      </c>
      <c r="BB102" s="183">
        <f>IF($AA102=0,0,IF($D$6=$G$9,AV102,AP102))</f>
        <v>1</v>
      </c>
      <c r="BC102" s="182">
        <f t="shared" si="225"/>
        <v>3</v>
      </c>
      <c r="BD102" s="164" t="str">
        <f t="shared" si="217"/>
        <v>Very Good</v>
      </c>
      <c r="BE102" s="185"/>
      <c r="BF102" s="182">
        <f t="shared" si="226"/>
        <v>3</v>
      </c>
      <c r="BG102" s="164" t="str">
        <f t="shared" si="219"/>
        <v>Very Good</v>
      </c>
      <c r="BH102" s="185"/>
      <c r="BI102" s="182">
        <f t="shared" si="227"/>
        <v>3</v>
      </c>
      <c r="BJ102" s="164" t="str">
        <f t="shared" si="220"/>
        <v>Very Good</v>
      </c>
      <c r="BK102" s="843"/>
      <c r="BN102" s="167"/>
      <c r="BO102" s="167">
        <v>1</v>
      </c>
      <c r="BP102" s="167">
        <f t="shared" si="156"/>
        <v>1</v>
      </c>
      <c r="BQ102" s="167">
        <f t="shared" si="196"/>
        <v>0</v>
      </c>
      <c r="BR102" s="167">
        <f t="shared" si="197"/>
        <v>0</v>
      </c>
      <c r="BS102" s="167">
        <f t="shared" si="198"/>
        <v>0</v>
      </c>
      <c r="BV102" s="164"/>
      <c r="BW102" s="164"/>
      <c r="BX102" s="164"/>
      <c r="BY102" s="164"/>
      <c r="BZ102" s="164"/>
      <c r="CA102" s="164"/>
    </row>
    <row r="103" spans="1:80" x14ac:dyDescent="0.25">
      <c r="A103" s="96">
        <v>95</v>
      </c>
      <c r="B103" s="137" t="str">
        <f>C103</f>
        <v>Tra 02</v>
      </c>
      <c r="C103" s="847" t="s">
        <v>150</v>
      </c>
      <c r="D103" s="845" t="s">
        <v>464</v>
      </c>
      <c r="E103" s="947">
        <f>SUM(E104:E105)</f>
        <v>10</v>
      </c>
      <c r="F103" s="947">
        <f t="shared" ref="F103:Q103" si="228">SUM(F104:F105)</f>
        <v>10</v>
      </c>
      <c r="G103" s="947">
        <f t="shared" si="228"/>
        <v>10</v>
      </c>
      <c r="H103" s="947">
        <f t="shared" si="228"/>
        <v>10</v>
      </c>
      <c r="I103" s="947">
        <f t="shared" si="228"/>
        <v>10</v>
      </c>
      <c r="J103" s="947">
        <f t="shared" si="228"/>
        <v>10</v>
      </c>
      <c r="K103" s="947">
        <f t="shared" si="228"/>
        <v>10</v>
      </c>
      <c r="L103" s="947">
        <f t="shared" si="228"/>
        <v>10</v>
      </c>
      <c r="M103" s="947">
        <f t="shared" si="228"/>
        <v>10</v>
      </c>
      <c r="N103" s="947">
        <f t="shared" si="228"/>
        <v>10</v>
      </c>
      <c r="O103" s="947">
        <f t="shared" si="228"/>
        <v>10</v>
      </c>
      <c r="P103" s="947">
        <f t="shared" ref="P103" si="229">SUM(P104:P105)</f>
        <v>10</v>
      </c>
      <c r="Q103" s="947">
        <f t="shared" si="228"/>
        <v>10</v>
      </c>
      <c r="S103" s="977">
        <f t="shared" si="207"/>
        <v>10</v>
      </c>
      <c r="T103" s="222"/>
      <c r="U103" s="230"/>
      <c r="V103" s="230"/>
      <c r="W103" s="230">
        <f>'Manuell filtrering og justering'!E44</f>
        <v>0</v>
      </c>
      <c r="X103" s="230"/>
      <c r="Y103" s="972">
        <f t="shared" ref="Y103" si="230">SUM(Y104:Y105)</f>
        <v>10</v>
      </c>
      <c r="Z103" s="977">
        <f t="shared" si="209"/>
        <v>0</v>
      </c>
      <c r="AA103" s="1081">
        <f t="shared" ref="AA103" si="231">SUM(AA104:AA105)</f>
        <v>10</v>
      </c>
      <c r="AC103" s="171">
        <f t="shared" si="211"/>
        <v>7.6923076923076927E-2</v>
      </c>
      <c r="AD103" s="935">
        <f>SUM(AD104:AD105)</f>
        <v>0</v>
      </c>
      <c r="AE103" s="935">
        <f t="shared" ref="AE103" si="232">SUM(AE104:AE105)</f>
        <v>0</v>
      </c>
      <c r="AF103" s="935">
        <f t="shared" ref="AF103" si="233">SUM(AF104:AF105)</f>
        <v>0</v>
      </c>
      <c r="AH103" s="972">
        <f t="shared" ref="AH103" si="234">SUM(AH104:AH105)</f>
        <v>0</v>
      </c>
      <c r="AI103" s="972">
        <f t="shared" ref="AI103" si="235">SUM(AI104:AI105)</f>
        <v>0</v>
      </c>
      <c r="AJ103" s="972">
        <f t="shared" ref="AJ103" si="236">SUM(AJ104:AJ105)</f>
        <v>0</v>
      </c>
      <c r="AL103" s="292"/>
      <c r="AM103" s="293"/>
      <c r="AN103" s="293"/>
      <c r="AO103" s="293"/>
      <c r="AP103" s="294"/>
      <c r="AQ103" s="139"/>
      <c r="AR103" s="292"/>
      <c r="AS103" s="293"/>
      <c r="AT103" s="293"/>
      <c r="AU103" s="293"/>
      <c r="AV103" s="294"/>
      <c r="AX103" s="188"/>
      <c r="AY103" s="189"/>
      <c r="AZ103" s="189"/>
      <c r="BA103" s="189"/>
      <c r="BB103" s="190"/>
      <c r="BC103" s="182">
        <f t="shared" si="225"/>
        <v>9</v>
      </c>
      <c r="BD103" s="164" t="str">
        <f t="shared" si="217"/>
        <v>N/A</v>
      </c>
      <c r="BE103" s="185"/>
      <c r="BF103" s="182">
        <f t="shared" si="226"/>
        <v>9</v>
      </c>
      <c r="BG103" s="164" t="str">
        <f t="shared" si="219"/>
        <v>N/A</v>
      </c>
      <c r="BH103" s="185"/>
      <c r="BI103" s="182">
        <f t="shared" si="227"/>
        <v>9</v>
      </c>
      <c r="BJ103" s="164" t="str">
        <f t="shared" si="220"/>
        <v>N/A</v>
      </c>
      <c r="BK103" s="185"/>
      <c r="BN103" s="167"/>
      <c r="BO103" s="167"/>
      <c r="BP103" s="167" t="str">
        <f t="shared" si="156"/>
        <v/>
      </c>
      <c r="BQ103" s="167">
        <f t="shared" si="196"/>
        <v>9</v>
      </c>
      <c r="BR103" s="167">
        <f t="shared" si="197"/>
        <v>9</v>
      </c>
      <c r="BS103" s="167">
        <f t="shared" si="198"/>
        <v>9</v>
      </c>
      <c r="BV103" s="167" t="str">
        <f>C103</f>
        <v>Tra 02</v>
      </c>
      <c r="BW103" s="167" t="str">
        <f>IFERROR(VLOOKUP($D103,'Pre-Assessment Estimator'!$E$11:$AB$224,'Pre-Assessment Estimator'!AB$2,FALSE),"")</f>
        <v>N/A</v>
      </c>
      <c r="BX103" s="167">
        <f>IFERROR(VLOOKUP($D103,'Pre-Assessment Estimator'!$E$11:$AI$224,'Pre-Assessment Estimator'!AI$2,FALSE),"")</f>
        <v>0</v>
      </c>
      <c r="BY103" s="167">
        <f>IFERROR(VLOOKUP($BW103,$D$291:$G$324,E$289,FALSE),"")</f>
        <v>1</v>
      </c>
      <c r="BZ103" s="167">
        <f>IFERROR(VLOOKUP($BW103,$D$291:$G$324,F$289,FALSE),"")</f>
        <v>0</v>
      </c>
      <c r="CA103" s="167"/>
      <c r="CB103" s="96" t="str">
        <f>IFERROR(VLOOKUP($BW103,$D$291:$G$324,H$289,FALSE),"")</f>
        <v/>
      </c>
    </row>
    <row r="104" spans="1:80" x14ac:dyDescent="0.25">
      <c r="A104" s="96">
        <v>96</v>
      </c>
      <c r="C104" s="163" t="s">
        <v>696</v>
      </c>
      <c r="D104" s="1138" t="s">
        <v>1003</v>
      </c>
      <c r="E104" s="788">
        <v>0</v>
      </c>
      <c r="F104" s="788">
        <v>0</v>
      </c>
      <c r="G104" s="788">
        <v>0</v>
      </c>
      <c r="H104" s="788">
        <v>0</v>
      </c>
      <c r="I104" s="788">
        <v>0</v>
      </c>
      <c r="J104" s="788">
        <v>0</v>
      </c>
      <c r="K104" s="788">
        <v>0</v>
      </c>
      <c r="L104" s="788">
        <v>0</v>
      </c>
      <c r="M104" s="788">
        <v>0</v>
      </c>
      <c r="N104" s="788">
        <v>0</v>
      </c>
      <c r="O104" s="788">
        <v>0</v>
      </c>
      <c r="P104" s="788">
        <v>0</v>
      </c>
      <c r="Q104" s="788">
        <v>0</v>
      </c>
      <c r="S104" s="221">
        <f t="shared" si="207"/>
        <v>0</v>
      </c>
      <c r="T104" s="166"/>
      <c r="U104" s="167"/>
      <c r="V104" s="167"/>
      <c r="W104" s="167"/>
      <c r="X104" s="168"/>
      <c r="Y104" s="168"/>
      <c r="Z104" s="169">
        <f t="shared" si="209"/>
        <v>0</v>
      </c>
      <c r="AA104" s="170"/>
      <c r="AC104" s="171">
        <f t="shared" si="211"/>
        <v>0</v>
      </c>
      <c r="AD104" s="171">
        <f t="shared" si="222"/>
        <v>0</v>
      </c>
      <c r="AE104" s="171">
        <f t="shared" si="223"/>
        <v>0</v>
      </c>
      <c r="AF104" s="171">
        <f t="shared" si="224"/>
        <v>0</v>
      </c>
      <c r="AH104" s="172">
        <f>IF(VLOOKUP(D104,'Pre-Assessment Estimator'!$E$11:$Z$224,'Pre-Assessment Estimator'!$G$2,FALSE)&gt;AA104,AA104,VLOOKUP(D104,'Pre-Assessment Estimator'!$E$11:$Z$224,'Pre-Assessment Estimator'!$G$2,FALSE))</f>
        <v>0</v>
      </c>
      <c r="AI104" s="172">
        <f>IF(VLOOKUP(D104,'Pre-Assessment Estimator'!$E$11:$Z$224,'Pre-Assessment Estimator'!$N$2,FALSE)&gt;AA104,AA104,VLOOKUP(D104,'Pre-Assessment Estimator'!$E$11:$Z$224,'Pre-Assessment Estimator'!$N$2,FALSE))</f>
        <v>0</v>
      </c>
      <c r="AJ104" s="172">
        <f>IF(VLOOKUP(D104,'Pre-Assessment Estimator'!$E$11:$Z$224,'Pre-Assessment Estimator'!$U$2,FALSE)&gt;AA104,AA104,VLOOKUP(D104,'Pre-Assessment Estimator'!$E$11:$Z$224,'Pre-Assessment Estimator'!$U$2,FALSE))</f>
        <v>0</v>
      </c>
      <c r="AL104" s="292"/>
      <c r="AM104" s="293"/>
      <c r="AN104" s="293"/>
      <c r="AO104" s="293"/>
      <c r="AP104" s="294"/>
      <c r="AQ104" s="139"/>
      <c r="AR104" s="292"/>
      <c r="AS104" s="293"/>
      <c r="AT104" s="293"/>
      <c r="AU104" s="293"/>
      <c r="AV104" s="294"/>
      <c r="AX104" s="188"/>
      <c r="AY104" s="189"/>
      <c r="AZ104" s="189"/>
      <c r="BA104" s="189"/>
      <c r="BB104" s="190"/>
      <c r="BC104" s="182">
        <f t="shared" si="225"/>
        <v>9</v>
      </c>
      <c r="BD104" s="164" t="str">
        <f t="shared" si="217"/>
        <v>N/A</v>
      </c>
      <c r="BE104" s="185"/>
      <c r="BF104" s="182">
        <f t="shared" si="226"/>
        <v>9</v>
      </c>
      <c r="BG104" s="164" t="str">
        <f t="shared" si="219"/>
        <v>N/A</v>
      </c>
      <c r="BH104" s="185"/>
      <c r="BI104" s="182">
        <f t="shared" si="227"/>
        <v>9</v>
      </c>
      <c r="BJ104" s="164" t="str">
        <f t="shared" si="220"/>
        <v>N/A</v>
      </c>
      <c r="BK104" s="185"/>
      <c r="BN104" s="167"/>
      <c r="BO104" s="167"/>
      <c r="BP104" s="167" t="str">
        <f t="shared" si="156"/>
        <v/>
      </c>
      <c r="BQ104" s="167">
        <f t="shared" si="196"/>
        <v>9</v>
      </c>
      <c r="BR104" s="167">
        <f t="shared" si="197"/>
        <v>9</v>
      </c>
      <c r="BS104" s="167">
        <f t="shared" si="198"/>
        <v>9</v>
      </c>
      <c r="BV104" s="167"/>
      <c r="BW104" s="167"/>
      <c r="BX104" s="167"/>
      <c r="BY104" s="167"/>
      <c r="BZ104" s="167"/>
      <c r="CA104" s="167"/>
    </row>
    <row r="105" spans="1:80" x14ac:dyDescent="0.25">
      <c r="A105" s="96">
        <v>97</v>
      </c>
      <c r="B105" s="96" t="str">
        <f t="shared" ref="B105" si="237">$C$103&amp;C105</f>
        <v>Tra 02b</v>
      </c>
      <c r="C105" s="163" t="s">
        <v>699</v>
      </c>
      <c r="D105" s="1138" t="s">
        <v>643</v>
      </c>
      <c r="E105" s="788">
        <v>10</v>
      </c>
      <c r="F105" s="788">
        <v>10</v>
      </c>
      <c r="G105" s="788">
        <v>10</v>
      </c>
      <c r="H105" s="788">
        <v>10</v>
      </c>
      <c r="I105" s="788">
        <v>10</v>
      </c>
      <c r="J105" s="788">
        <v>10</v>
      </c>
      <c r="K105" s="788">
        <v>10</v>
      </c>
      <c r="L105" s="788">
        <v>10</v>
      </c>
      <c r="M105" s="788">
        <v>10</v>
      </c>
      <c r="N105" s="788">
        <v>10</v>
      </c>
      <c r="O105" s="788">
        <v>10</v>
      </c>
      <c r="P105" s="788">
        <v>10</v>
      </c>
      <c r="Q105" s="788">
        <v>10</v>
      </c>
      <c r="S105" s="221">
        <f t="shared" si="207"/>
        <v>10</v>
      </c>
      <c r="T105" s="166"/>
      <c r="U105" s="167"/>
      <c r="V105" s="167"/>
      <c r="W105" s="167"/>
      <c r="X105" s="168"/>
      <c r="Y105" s="168">
        <f>VLOOKUP(B105,'Manuell filtrering og justering'!$A$7:$H$107,'Manuell filtrering og justering'!$H$1,FALSE)</f>
        <v>10</v>
      </c>
      <c r="Z105" s="169">
        <f t="shared" si="209"/>
        <v>0</v>
      </c>
      <c r="AA105" s="170">
        <f>IF($AB$5='Manuell filtrering og justering'!$J$2,Y105,(S105-Z105))</f>
        <v>10</v>
      </c>
      <c r="AC105" s="171">
        <f t="shared" si="211"/>
        <v>7.6923076923076927E-2</v>
      </c>
      <c r="AD105" s="171">
        <f t="shared" si="222"/>
        <v>0</v>
      </c>
      <c r="AE105" s="171">
        <f t="shared" si="223"/>
        <v>0</v>
      </c>
      <c r="AF105" s="171">
        <f t="shared" si="224"/>
        <v>0</v>
      </c>
      <c r="AH105" s="1082">
        <f>IF(AH245=AD_no,0,IF(VLOOKUP(D105,'Pre-Assessment Estimator'!$E$11:$Z$224,'Pre-Assessment Estimator'!$G$2,FALSE)&gt;AA105,AA105,VLOOKUP(D105,'Pre-Assessment Estimator'!$E$11:$Z$224,'Pre-Assessment Estimator'!$G$2,FALSE)))</f>
        <v>0</v>
      </c>
      <c r="AI105" s="1082">
        <f>IF(AI245=AD_no,0,IF(VLOOKUP(D105,'Pre-Assessment Estimator'!$E$11:$Z$224,'Pre-Assessment Estimator'!$N$2,FALSE)&gt;AA105,AA105,VLOOKUP(D105,'Pre-Assessment Estimator'!$E$11:$Z$224,'Pre-Assessment Estimator'!$N$2,FALSE)))</f>
        <v>0</v>
      </c>
      <c r="AJ105" s="1082">
        <f>IF(AJ245=AD_no,0,IF(VLOOKUP(D105,'Pre-Assessment Estimator'!$E$11:$Z$224,'Pre-Assessment Estimator'!$U$2,FALSE)&gt;AA105,AA105,VLOOKUP(D105,'Pre-Assessment Estimator'!$E$11:$Z$224,'Pre-Assessment Estimator'!$U$2,FALSE)))</f>
        <v>0</v>
      </c>
      <c r="AL105" s="292"/>
      <c r="AM105" s="293"/>
      <c r="AN105" s="293"/>
      <c r="AO105" s="293"/>
      <c r="AP105" s="294"/>
      <c r="AQ105" s="139"/>
      <c r="AR105" s="292"/>
      <c r="AS105" s="293"/>
      <c r="AT105" s="293"/>
      <c r="AU105" s="293"/>
      <c r="AV105" s="294"/>
      <c r="AX105" s="188"/>
      <c r="AY105" s="189"/>
      <c r="AZ105" s="189"/>
      <c r="BA105" s="189"/>
      <c r="BB105" s="190"/>
      <c r="BC105" s="182">
        <f t="shared" si="225"/>
        <v>9</v>
      </c>
      <c r="BD105" s="164" t="str">
        <f t="shared" si="217"/>
        <v>N/A</v>
      </c>
      <c r="BE105" s="185"/>
      <c r="BF105" s="182">
        <f t="shared" si="226"/>
        <v>9</v>
      </c>
      <c r="BG105" s="164" t="str">
        <f t="shared" si="219"/>
        <v>N/A</v>
      </c>
      <c r="BH105" s="185"/>
      <c r="BI105" s="182">
        <f t="shared" si="227"/>
        <v>9</v>
      </c>
      <c r="BJ105" s="164" t="str">
        <f t="shared" si="220"/>
        <v>N/A</v>
      </c>
      <c r="BK105" s="185"/>
      <c r="BN105" s="167"/>
      <c r="BO105" s="167"/>
      <c r="BP105" s="167" t="str">
        <f t="shared" si="156"/>
        <v/>
      </c>
      <c r="BQ105" s="167">
        <f t="shared" si="196"/>
        <v>9</v>
      </c>
      <c r="BR105" s="167">
        <f t="shared" si="197"/>
        <v>9</v>
      </c>
      <c r="BS105" s="167">
        <f t="shared" si="198"/>
        <v>9</v>
      </c>
      <c r="BV105" s="167"/>
      <c r="BW105" s="167"/>
      <c r="BX105" s="167"/>
      <c r="BY105" s="167"/>
      <c r="BZ105" s="167"/>
      <c r="CA105" s="167"/>
    </row>
    <row r="106" spans="1:80" x14ac:dyDescent="0.25">
      <c r="A106" s="96">
        <v>98</v>
      </c>
      <c r="C106" s="712" t="s">
        <v>151</v>
      </c>
      <c r="D106" s="711"/>
      <c r="E106" s="948"/>
      <c r="F106" s="948"/>
      <c r="G106" s="948"/>
      <c r="H106" s="948"/>
      <c r="I106" s="948"/>
      <c r="J106" s="948"/>
      <c r="K106" s="948"/>
      <c r="L106" s="948"/>
      <c r="M106" s="948"/>
      <c r="N106" s="948"/>
      <c r="O106" s="948"/>
      <c r="P106" s="948"/>
      <c r="Q106" s="948"/>
      <c r="S106" s="970"/>
      <c r="T106" s="712"/>
      <c r="U106" s="711"/>
      <c r="V106" s="711"/>
      <c r="W106" s="711"/>
      <c r="X106" s="969"/>
      <c r="Y106" s="969"/>
      <c r="Z106" s="970"/>
      <c r="AA106" s="971"/>
      <c r="AC106" s="171">
        <f t="shared" si="211"/>
        <v>0</v>
      </c>
      <c r="AD106" s="974"/>
      <c r="AE106" s="974"/>
      <c r="AF106" s="974"/>
      <c r="AH106" s="731"/>
      <c r="AI106" s="731"/>
      <c r="AJ106" s="731"/>
      <c r="AL106" s="292"/>
      <c r="AM106" s="293"/>
      <c r="AN106" s="293"/>
      <c r="AO106" s="293"/>
      <c r="AP106" s="294"/>
      <c r="AQ106" s="139"/>
      <c r="AR106" s="292"/>
      <c r="AS106" s="293"/>
      <c r="AT106" s="293"/>
      <c r="AU106" s="293"/>
      <c r="AV106" s="294"/>
      <c r="AX106" s="188"/>
      <c r="AY106" s="189"/>
      <c r="AZ106" s="189"/>
      <c r="BA106" s="189"/>
      <c r="BB106" s="190"/>
      <c r="BC106" s="182">
        <f t="shared" si="59"/>
        <v>9</v>
      </c>
      <c r="BD106" s="164" t="str">
        <f t="shared" si="217"/>
        <v>N/A</v>
      </c>
      <c r="BE106" s="185"/>
      <c r="BF106" s="182">
        <f t="shared" si="218"/>
        <v>9</v>
      </c>
      <c r="BG106" s="164" t="str">
        <f t="shared" si="219"/>
        <v>N/A</v>
      </c>
      <c r="BH106" s="185"/>
      <c r="BI106" s="182">
        <f t="shared" si="27"/>
        <v>9</v>
      </c>
      <c r="BJ106" s="164" t="str">
        <f t="shared" si="220"/>
        <v>N/A</v>
      </c>
      <c r="BK106" s="185"/>
      <c r="BN106" s="167"/>
      <c r="BO106" s="167"/>
      <c r="BP106" s="167" t="str">
        <f t="shared" si="156"/>
        <v/>
      </c>
      <c r="BQ106" s="167">
        <f t="shared" si="196"/>
        <v>9</v>
      </c>
      <c r="BR106" s="167">
        <f t="shared" si="197"/>
        <v>9</v>
      </c>
      <c r="BS106" s="167">
        <f t="shared" si="198"/>
        <v>9</v>
      </c>
      <c r="BV106" s="167" t="str">
        <f>C106</f>
        <v>Tra 03</v>
      </c>
      <c r="BW106" s="167" t="str">
        <f>IFERROR(VLOOKUP($D106,'Pre-Assessment Estimator'!$E$11:$AB$224,'Pre-Assessment Estimator'!AB$2,FALSE),"")</f>
        <v/>
      </c>
      <c r="BX106" s="167" t="str">
        <f>IFERROR(VLOOKUP($D106,'Pre-Assessment Estimator'!$E$11:$AI$224,'Pre-Assessment Estimator'!AI$2,FALSE),"")</f>
        <v/>
      </c>
      <c r="BY106" s="167" t="str">
        <f t="shared" ref="BY106:BZ113" si="238">IFERROR(VLOOKUP($BW106,$D$291:$G$324,E$289,FALSE),"")</f>
        <v/>
      </c>
      <c r="BZ106" s="167" t="str">
        <f t="shared" si="238"/>
        <v/>
      </c>
      <c r="CA106" s="167"/>
      <c r="CB106" s="96" t="s">
        <v>432</v>
      </c>
    </row>
    <row r="107" spans="1:80" x14ac:dyDescent="0.25">
      <c r="A107" s="96">
        <v>99</v>
      </c>
      <c r="C107" s="712" t="s">
        <v>152</v>
      </c>
      <c r="D107" s="711"/>
      <c r="E107" s="948"/>
      <c r="F107" s="948"/>
      <c r="G107" s="948"/>
      <c r="H107" s="948"/>
      <c r="I107" s="948"/>
      <c r="J107" s="948"/>
      <c r="K107" s="948"/>
      <c r="L107" s="948"/>
      <c r="M107" s="948"/>
      <c r="N107" s="948"/>
      <c r="O107" s="948"/>
      <c r="P107" s="948"/>
      <c r="Q107" s="948"/>
      <c r="S107" s="970"/>
      <c r="T107" s="712"/>
      <c r="U107" s="711"/>
      <c r="V107" s="711"/>
      <c r="W107" s="711"/>
      <c r="X107" s="969"/>
      <c r="Y107" s="969"/>
      <c r="Z107" s="970"/>
      <c r="AA107" s="971"/>
      <c r="AC107" s="171">
        <f t="shared" si="211"/>
        <v>0</v>
      </c>
      <c r="AD107" s="974"/>
      <c r="AE107" s="974"/>
      <c r="AF107" s="974"/>
      <c r="AH107" s="731"/>
      <c r="AI107" s="731"/>
      <c r="AJ107" s="731"/>
      <c r="AL107" s="292"/>
      <c r="AM107" s="293"/>
      <c r="AN107" s="293"/>
      <c r="AO107" s="293"/>
      <c r="AP107" s="294"/>
      <c r="AQ107" s="139"/>
      <c r="AR107" s="292"/>
      <c r="AS107" s="293"/>
      <c r="AT107" s="293"/>
      <c r="AU107" s="293"/>
      <c r="AV107" s="294"/>
      <c r="AX107" s="188"/>
      <c r="AY107" s="189"/>
      <c r="AZ107" s="189"/>
      <c r="BA107" s="189"/>
      <c r="BB107" s="190"/>
      <c r="BC107" s="182">
        <f t="shared" si="59"/>
        <v>9</v>
      </c>
      <c r="BD107" s="164" t="str">
        <f t="shared" si="217"/>
        <v>N/A</v>
      </c>
      <c r="BE107" s="185"/>
      <c r="BF107" s="182">
        <f t="shared" si="218"/>
        <v>9</v>
      </c>
      <c r="BG107" s="164" t="str">
        <f t="shared" si="219"/>
        <v>N/A</v>
      </c>
      <c r="BH107" s="185"/>
      <c r="BI107" s="182">
        <f t="shared" si="27"/>
        <v>9</v>
      </c>
      <c r="BJ107" s="164" t="str">
        <f t="shared" si="220"/>
        <v>N/A</v>
      </c>
      <c r="BK107" s="185"/>
      <c r="BN107" s="167"/>
      <c r="BO107" s="167"/>
      <c r="BP107" s="167" t="str">
        <f t="shared" si="156"/>
        <v/>
      </c>
      <c r="BQ107" s="167">
        <f t="shared" si="196"/>
        <v>9</v>
      </c>
      <c r="BR107" s="167">
        <f t="shared" si="197"/>
        <v>9</v>
      </c>
      <c r="BS107" s="167">
        <f t="shared" si="198"/>
        <v>9</v>
      </c>
      <c r="BV107" s="167" t="str">
        <f>C107</f>
        <v>Tra 04</v>
      </c>
      <c r="BW107" s="167" t="str">
        <f>IFERROR(VLOOKUP($D107,'Pre-Assessment Estimator'!$E$11:$AB$224,'Pre-Assessment Estimator'!AB$2,FALSE),"")</f>
        <v/>
      </c>
      <c r="BX107" s="167" t="str">
        <f>IFERROR(VLOOKUP($D107,'Pre-Assessment Estimator'!$E$11:$AI$224,'Pre-Assessment Estimator'!AI$2,FALSE),"")</f>
        <v/>
      </c>
      <c r="BY107" s="167" t="str">
        <f t="shared" si="238"/>
        <v/>
      </c>
      <c r="BZ107" s="167" t="str">
        <f t="shared" si="238"/>
        <v/>
      </c>
      <c r="CA107" s="167"/>
      <c r="CB107" s="96" t="str">
        <f t="shared" ref="CB107:CB112" si="239">IFERROR(VLOOKUP($BW107,$D$291:$G$324,H$289,FALSE),"")</f>
        <v/>
      </c>
    </row>
    <row r="108" spans="1:80" x14ac:dyDescent="0.25">
      <c r="A108" s="96">
        <v>100</v>
      </c>
      <c r="C108" s="712" t="s">
        <v>153</v>
      </c>
      <c r="D108" s="711"/>
      <c r="E108" s="948"/>
      <c r="F108" s="948"/>
      <c r="G108" s="948"/>
      <c r="H108" s="948"/>
      <c r="I108" s="948"/>
      <c r="J108" s="948"/>
      <c r="K108" s="948"/>
      <c r="L108" s="948"/>
      <c r="M108" s="948"/>
      <c r="N108" s="948"/>
      <c r="O108" s="948"/>
      <c r="P108" s="948"/>
      <c r="Q108" s="948"/>
      <c r="S108" s="970"/>
      <c r="T108" s="712"/>
      <c r="U108" s="711"/>
      <c r="V108" s="711"/>
      <c r="W108" s="711"/>
      <c r="X108" s="969"/>
      <c r="Y108" s="969"/>
      <c r="Z108" s="970"/>
      <c r="AA108" s="971"/>
      <c r="AC108" s="171">
        <f t="shared" si="211"/>
        <v>0</v>
      </c>
      <c r="AD108" s="974"/>
      <c r="AE108" s="974"/>
      <c r="AF108" s="974"/>
      <c r="AH108" s="731"/>
      <c r="AI108" s="731"/>
      <c r="AJ108" s="731"/>
      <c r="AL108" s="292"/>
      <c r="AM108" s="293"/>
      <c r="AN108" s="293"/>
      <c r="AO108" s="293"/>
      <c r="AP108" s="294"/>
      <c r="AQ108" s="139"/>
      <c r="AR108" s="292"/>
      <c r="AS108" s="293"/>
      <c r="AT108" s="293"/>
      <c r="AU108" s="293"/>
      <c r="AV108" s="294"/>
      <c r="AX108" s="188"/>
      <c r="AY108" s="189"/>
      <c r="AZ108" s="189"/>
      <c r="BA108" s="189"/>
      <c r="BB108" s="190"/>
      <c r="BC108" s="182">
        <f t="shared" si="59"/>
        <v>9</v>
      </c>
      <c r="BD108" s="164" t="str">
        <f t="shared" si="217"/>
        <v>N/A</v>
      </c>
      <c r="BE108" s="185"/>
      <c r="BF108" s="182">
        <f t="shared" si="218"/>
        <v>9</v>
      </c>
      <c r="BG108" s="164" t="str">
        <f t="shared" si="219"/>
        <v>N/A</v>
      </c>
      <c r="BH108" s="185"/>
      <c r="BI108" s="182">
        <f t="shared" si="27"/>
        <v>9</v>
      </c>
      <c r="BJ108" s="164" t="str">
        <f t="shared" si="220"/>
        <v>N/A</v>
      </c>
      <c r="BK108" s="185"/>
      <c r="BN108" s="167"/>
      <c r="BO108" s="167"/>
      <c r="BP108" s="167" t="str">
        <f t="shared" si="156"/>
        <v/>
      </c>
      <c r="BQ108" s="167">
        <f t="shared" si="196"/>
        <v>9</v>
      </c>
      <c r="BR108" s="167">
        <f t="shared" si="197"/>
        <v>9</v>
      </c>
      <c r="BS108" s="167">
        <f t="shared" si="198"/>
        <v>9</v>
      </c>
      <c r="BV108" s="167" t="str">
        <f>C108</f>
        <v>Tra 05</v>
      </c>
      <c r="BW108" s="167" t="str">
        <f>IFERROR(VLOOKUP($D108,'Pre-Assessment Estimator'!$E$11:$AB$224,'Pre-Assessment Estimator'!AB$2,FALSE),"")</f>
        <v/>
      </c>
      <c r="BX108" s="167" t="str">
        <f>IFERROR(VLOOKUP($D108,'Pre-Assessment Estimator'!$E$11:$AI$224,'Pre-Assessment Estimator'!AI$2,FALSE),"")</f>
        <v/>
      </c>
      <c r="BY108" s="167" t="str">
        <f t="shared" si="238"/>
        <v/>
      </c>
      <c r="BZ108" s="167" t="str">
        <f t="shared" si="238"/>
        <v/>
      </c>
      <c r="CA108" s="167"/>
      <c r="CB108" s="96" t="str">
        <f t="shared" si="239"/>
        <v/>
      </c>
    </row>
    <row r="109" spans="1:80" ht="15.75" thickBot="1" x14ac:dyDescent="0.3">
      <c r="A109" s="96">
        <v>101</v>
      </c>
      <c r="C109" s="716" t="s">
        <v>316</v>
      </c>
      <c r="D109" s="717"/>
      <c r="E109" s="951"/>
      <c r="F109" s="951"/>
      <c r="G109" s="951"/>
      <c r="H109" s="951"/>
      <c r="I109" s="951"/>
      <c r="J109" s="951"/>
      <c r="K109" s="951"/>
      <c r="L109" s="951"/>
      <c r="M109" s="951"/>
      <c r="N109" s="951"/>
      <c r="O109" s="951"/>
      <c r="P109" s="951"/>
      <c r="Q109" s="951"/>
      <c r="S109" s="970"/>
      <c r="T109" s="714"/>
      <c r="U109" s="715"/>
      <c r="V109" s="715"/>
      <c r="W109" s="711"/>
      <c r="X109" s="969"/>
      <c r="Y109" s="969"/>
      <c r="Z109" s="970"/>
      <c r="AA109" s="971"/>
      <c r="AC109" s="171">
        <f t="shared" si="211"/>
        <v>0</v>
      </c>
      <c r="AD109" s="974"/>
      <c r="AE109" s="974"/>
      <c r="AF109" s="974"/>
      <c r="AH109" s="731"/>
      <c r="AI109" s="731"/>
      <c r="AJ109" s="731"/>
      <c r="AL109" s="295"/>
      <c r="AM109" s="296"/>
      <c r="AN109" s="296"/>
      <c r="AO109" s="296"/>
      <c r="AP109" s="297"/>
      <c r="AQ109" s="139"/>
      <c r="AR109" s="295"/>
      <c r="AS109" s="296"/>
      <c r="AT109" s="296"/>
      <c r="AU109" s="296"/>
      <c r="AV109" s="297"/>
      <c r="AX109" s="194"/>
      <c r="AY109" s="196"/>
      <c r="AZ109" s="196"/>
      <c r="BA109" s="196"/>
      <c r="BB109" s="197"/>
      <c r="BC109" s="198">
        <f t="shared" ref="BC109" si="240">IF(BB109=0,9,IF(AH109&gt;=BB109,5,IF(AH109&gt;=BA109,4,IF(AH109&gt;=AZ109,3,IF(AH109&gt;=AY109,2,IF(AH109&lt;AX109,0,1))))))</f>
        <v>9</v>
      </c>
      <c r="BD109" s="164" t="str">
        <f t="shared" si="217"/>
        <v>N/A</v>
      </c>
      <c r="BE109" s="200"/>
      <c r="BF109" s="198">
        <f t="shared" si="218"/>
        <v>9</v>
      </c>
      <c r="BG109" s="164" t="str">
        <f t="shared" si="219"/>
        <v>N/A</v>
      </c>
      <c r="BH109" s="200"/>
      <c r="BI109" s="198">
        <f t="shared" si="27"/>
        <v>9</v>
      </c>
      <c r="BJ109" s="164" t="str">
        <f t="shared" si="220"/>
        <v>N/A</v>
      </c>
      <c r="BK109" s="200"/>
      <c r="BN109" s="167"/>
      <c r="BO109" s="167"/>
      <c r="BP109" s="167" t="str">
        <f t="shared" si="156"/>
        <v/>
      </c>
      <c r="BQ109" s="167">
        <f t="shared" si="196"/>
        <v>9</v>
      </c>
      <c r="BR109" s="167">
        <f t="shared" si="197"/>
        <v>9</v>
      </c>
      <c r="BS109" s="167">
        <f t="shared" si="198"/>
        <v>9</v>
      </c>
      <c r="BV109" s="314" t="str">
        <f>C109</f>
        <v>Tra 06</v>
      </c>
      <c r="BW109" s="314" t="str">
        <f>IFERROR(VLOOKUP($D109,'Pre-Assessment Estimator'!$E$11:$AB$224,'Pre-Assessment Estimator'!AB$2,FALSE),"")</f>
        <v/>
      </c>
      <c r="BX109" s="314" t="str">
        <f>IFERROR(VLOOKUP($D109,'Pre-Assessment Estimator'!$E$11:$AI$224,'Pre-Assessment Estimator'!AI$2,FALSE),"")</f>
        <v/>
      </c>
      <c r="BY109" s="314" t="str">
        <f t="shared" si="238"/>
        <v/>
      </c>
      <c r="BZ109" s="314" t="str">
        <f t="shared" si="238"/>
        <v/>
      </c>
      <c r="CA109" s="314"/>
      <c r="CB109" s="96" t="str">
        <f t="shared" si="239"/>
        <v/>
      </c>
    </row>
    <row r="110" spans="1:80" ht="15.75" thickBot="1" x14ac:dyDescent="0.3">
      <c r="A110" s="96">
        <v>102</v>
      </c>
      <c r="B110" s="96" t="s">
        <v>889</v>
      </c>
      <c r="C110" s="201"/>
      <c r="D110" s="202" t="s">
        <v>216</v>
      </c>
      <c r="E110" s="786">
        <f>E100+E103</f>
        <v>13</v>
      </c>
      <c r="F110" s="786">
        <f t="shared" ref="F110:Q110" si="241">F100+F103</f>
        <v>13</v>
      </c>
      <c r="G110" s="786">
        <f t="shared" si="241"/>
        <v>13</v>
      </c>
      <c r="H110" s="786">
        <f t="shared" si="241"/>
        <v>13</v>
      </c>
      <c r="I110" s="786">
        <f t="shared" si="241"/>
        <v>13</v>
      </c>
      <c r="J110" s="786">
        <f t="shared" si="241"/>
        <v>13</v>
      </c>
      <c r="K110" s="786">
        <f t="shared" si="241"/>
        <v>13</v>
      </c>
      <c r="L110" s="786">
        <f t="shared" si="241"/>
        <v>13</v>
      </c>
      <c r="M110" s="786">
        <f t="shared" si="241"/>
        <v>13</v>
      </c>
      <c r="N110" s="786">
        <f t="shared" si="241"/>
        <v>13</v>
      </c>
      <c r="O110" s="786">
        <f t="shared" si="241"/>
        <v>13</v>
      </c>
      <c r="P110" s="786">
        <f t="shared" ref="P110" si="242">P100+P103</f>
        <v>13</v>
      </c>
      <c r="Q110" s="786">
        <f t="shared" si="241"/>
        <v>13</v>
      </c>
      <c r="S110" s="226">
        <f>HLOOKUP($D$6,$E$9:$Q$231,$A110,FALSE)</f>
        <v>13</v>
      </c>
      <c r="T110" s="204"/>
      <c r="U110" s="205"/>
      <c r="V110" s="205"/>
      <c r="W110" s="205"/>
      <c r="X110" s="206"/>
      <c r="Y110" s="206"/>
      <c r="Z110" s="786">
        <f t="shared" ref="Z110:AF110" si="243">Z100+Z103</f>
        <v>0</v>
      </c>
      <c r="AA110" s="786">
        <f t="shared" si="243"/>
        <v>13</v>
      </c>
      <c r="AC110" s="208">
        <f t="shared" si="243"/>
        <v>0.1</v>
      </c>
      <c r="AD110" s="208">
        <f t="shared" si="243"/>
        <v>0</v>
      </c>
      <c r="AE110" s="208">
        <f t="shared" si="243"/>
        <v>0</v>
      </c>
      <c r="AF110" s="208">
        <f t="shared" si="243"/>
        <v>0</v>
      </c>
      <c r="AH110" s="78">
        <f t="shared" ref="AH110:AJ110" si="244">AH100+AH103</f>
        <v>0</v>
      </c>
      <c r="AI110" s="78">
        <f t="shared" si="244"/>
        <v>0</v>
      </c>
      <c r="AJ110" s="78">
        <f t="shared" si="244"/>
        <v>0</v>
      </c>
      <c r="AL110" s="139"/>
      <c r="AM110" s="139"/>
      <c r="AN110" s="139"/>
      <c r="AO110" s="139"/>
      <c r="AP110" s="139"/>
      <c r="AQ110" s="139"/>
      <c r="AR110" s="139"/>
      <c r="AS110" s="139"/>
      <c r="AT110" s="139"/>
      <c r="AU110" s="139"/>
      <c r="AV110" s="139"/>
      <c r="AX110" s="97"/>
      <c r="AY110" s="209"/>
      <c r="AZ110" s="97"/>
      <c r="BA110" s="97"/>
      <c r="BB110" s="97"/>
      <c r="BV110" s="202"/>
      <c r="BW110" s="202" t="str">
        <f>IFERROR(VLOOKUP($D110,'Pre-Assessment Estimator'!$E$11:$AB$224,'Pre-Assessment Estimator'!AB$2,FALSE),"")</f>
        <v/>
      </c>
      <c r="BX110" s="202" t="str">
        <f>IFERROR(VLOOKUP($D110,'Pre-Assessment Estimator'!$E$11:$AI$224,'Pre-Assessment Estimator'!AI$2,FALSE),"")</f>
        <v/>
      </c>
      <c r="BY110" s="202" t="str">
        <f t="shared" si="238"/>
        <v/>
      </c>
      <c r="BZ110" s="202" t="str">
        <f t="shared" si="238"/>
        <v/>
      </c>
      <c r="CA110" s="202"/>
      <c r="CB110" s="96" t="str">
        <f t="shared" si="239"/>
        <v/>
      </c>
    </row>
    <row r="111" spans="1:80" ht="15.75" thickBot="1" x14ac:dyDescent="0.3">
      <c r="A111" s="96">
        <v>103</v>
      </c>
      <c r="AH111" s="3"/>
      <c r="AI111" s="3"/>
      <c r="AJ111" s="3"/>
      <c r="AL111" s="139"/>
      <c r="AM111" s="139"/>
      <c r="AN111" s="139"/>
      <c r="AO111" s="139"/>
      <c r="AP111" s="139"/>
      <c r="AQ111" s="139"/>
      <c r="AR111" s="139"/>
      <c r="AS111" s="139"/>
      <c r="AT111" s="139"/>
      <c r="AU111" s="139"/>
      <c r="AV111" s="139"/>
      <c r="AX111" s="97"/>
      <c r="AY111" s="97"/>
      <c r="AZ111" s="97"/>
      <c r="BA111" s="97"/>
      <c r="BB111" s="97"/>
      <c r="BW111" s="96" t="str">
        <f>IFERROR(VLOOKUP($D111,'Pre-Assessment Estimator'!$E$11:$AB$224,'Pre-Assessment Estimator'!AB$2,FALSE),"")</f>
        <v/>
      </c>
      <c r="BX111" s="96" t="str">
        <f>IFERROR(VLOOKUP($D111,'Pre-Assessment Estimator'!$E$11:$AI$224,'Pre-Assessment Estimator'!AI$2,FALSE),"")</f>
        <v/>
      </c>
      <c r="BY111" s="96" t="str">
        <f t="shared" si="238"/>
        <v/>
      </c>
      <c r="BZ111" s="96" t="str">
        <f t="shared" si="238"/>
        <v/>
      </c>
      <c r="CB111" s="96" t="str">
        <f t="shared" si="239"/>
        <v/>
      </c>
    </row>
    <row r="112" spans="1:80" ht="60.75" thickBot="1" x14ac:dyDescent="0.3">
      <c r="A112" s="96">
        <v>104</v>
      </c>
      <c r="C112" s="145"/>
      <c r="D112" s="146" t="s">
        <v>61</v>
      </c>
      <c r="E112" s="778" t="str">
        <f>$E$9</f>
        <v>Office</v>
      </c>
      <c r="F112" s="778" t="str">
        <f>$F$9</f>
        <v>Retail</v>
      </c>
      <c r="G112" s="778" t="str">
        <f>$G$9</f>
        <v>Residential</v>
      </c>
      <c r="H112" s="778" t="str">
        <f>$H$9</f>
        <v>Industrial</v>
      </c>
      <c r="I112" s="778" t="str">
        <f>$I$9</f>
        <v>Healthcare</v>
      </c>
      <c r="J112" s="778" t="str">
        <f>$J$9</f>
        <v>Prison</v>
      </c>
      <c r="K112" s="778" t="str">
        <f>$K$9</f>
        <v>Law Court</v>
      </c>
      <c r="L112" s="778" t="str">
        <f>$L$9</f>
        <v>Residential institution (long term stay)</v>
      </c>
      <c r="M112" s="778" t="str">
        <f>$M$9</f>
        <v>Residential institution (short term stay)</v>
      </c>
      <c r="N112" s="778" t="str">
        <f>$N$9</f>
        <v>Non-residential institution</v>
      </c>
      <c r="O112" s="778" t="str">
        <f>$O$9</f>
        <v>Assembly and leisure</v>
      </c>
      <c r="P112" s="779" t="str">
        <f>$P$9</f>
        <v>Education</v>
      </c>
      <c r="Q112" s="779" t="str">
        <f>$Q$9</f>
        <v>Other</v>
      </c>
      <c r="S112" s="138" t="str">
        <f>$D$6</f>
        <v>Office</v>
      </c>
      <c r="T112" s="210"/>
      <c r="U112" s="211"/>
      <c r="V112" s="211"/>
      <c r="W112" s="211"/>
      <c r="X112" s="1182" t="s">
        <v>414</v>
      </c>
      <c r="Y112" s="347" t="s">
        <v>337</v>
      </c>
      <c r="Z112" s="150" t="s">
        <v>216</v>
      </c>
      <c r="AA112" s="59" t="s">
        <v>16</v>
      </c>
      <c r="AH112" s="42"/>
      <c r="AI112" s="60"/>
      <c r="AJ112" s="60"/>
      <c r="AL112" s="139"/>
      <c r="AM112" s="139"/>
      <c r="AN112" s="139"/>
      <c r="AO112" s="139"/>
      <c r="AP112" s="139"/>
      <c r="AQ112" s="139"/>
      <c r="AR112" s="139"/>
      <c r="AS112" s="139"/>
      <c r="AT112" s="139"/>
      <c r="AU112" s="139"/>
      <c r="AV112" s="139"/>
      <c r="AX112" s="97"/>
      <c r="AY112" s="97"/>
      <c r="AZ112" s="97"/>
      <c r="BA112" s="97"/>
      <c r="BB112" s="97"/>
      <c r="BN112" s="60"/>
      <c r="BO112" s="60"/>
      <c r="BP112" s="60"/>
      <c r="BQ112" s="60"/>
      <c r="BR112" s="60"/>
      <c r="BS112" s="60"/>
      <c r="BV112" s="146"/>
      <c r="BW112" s="146" t="str">
        <f>D112</f>
        <v>Water</v>
      </c>
      <c r="BX112" s="146">
        <f>IFERROR(VLOOKUP($D112,'Pre-Assessment Estimator'!$E$11:$AI$224,'Pre-Assessment Estimator'!AI$2,FALSE),"")</f>
        <v>0</v>
      </c>
      <c r="BY112" s="146" t="str">
        <f t="shared" si="238"/>
        <v/>
      </c>
      <c r="BZ112" s="146" t="str">
        <f t="shared" si="238"/>
        <v/>
      </c>
      <c r="CA112" s="146"/>
      <c r="CB112" s="96" t="str">
        <f t="shared" si="239"/>
        <v/>
      </c>
    </row>
    <row r="113" spans="1:84" x14ac:dyDescent="0.25">
      <c r="A113" s="96">
        <v>105</v>
      </c>
      <c r="B113" s="137" t="str">
        <f>C113</f>
        <v>Wat 01</v>
      </c>
      <c r="C113" s="846" t="s">
        <v>171</v>
      </c>
      <c r="D113" s="844" t="s">
        <v>154</v>
      </c>
      <c r="E113" s="947">
        <f>SUM(E114)</f>
        <v>5</v>
      </c>
      <c r="F113" s="947">
        <f t="shared" ref="F113:Q113" si="245">SUM(F114)</f>
        <v>5</v>
      </c>
      <c r="G113" s="947">
        <f t="shared" si="245"/>
        <v>5</v>
      </c>
      <c r="H113" s="947">
        <f t="shared" si="245"/>
        <v>5</v>
      </c>
      <c r="I113" s="947">
        <f t="shared" si="245"/>
        <v>5</v>
      </c>
      <c r="J113" s="947">
        <f t="shared" si="245"/>
        <v>5</v>
      </c>
      <c r="K113" s="947">
        <f t="shared" si="245"/>
        <v>5</v>
      </c>
      <c r="L113" s="947">
        <f t="shared" si="245"/>
        <v>5</v>
      </c>
      <c r="M113" s="947">
        <f t="shared" si="245"/>
        <v>5</v>
      </c>
      <c r="N113" s="947">
        <f t="shared" si="245"/>
        <v>5</v>
      </c>
      <c r="O113" s="947">
        <f t="shared" si="245"/>
        <v>5</v>
      </c>
      <c r="P113" s="947">
        <f t="shared" si="245"/>
        <v>5</v>
      </c>
      <c r="Q113" s="947">
        <f t="shared" si="245"/>
        <v>5</v>
      </c>
      <c r="R113" s="97"/>
      <c r="S113" s="975">
        <f t="shared" ref="S113:S123" si="246">HLOOKUP($D$6,$E$9:$Q$231,$A113,FALSE)</f>
        <v>5</v>
      </c>
      <c r="T113" s="222"/>
      <c r="U113" s="230"/>
      <c r="V113" s="230"/>
      <c r="W113" s="230">
        <f>'Manuell filtrering og justering'!E52</f>
        <v>0</v>
      </c>
      <c r="X113" s="230"/>
      <c r="Y113" s="972">
        <f t="shared" ref="Y113" si="247">SUM(Y114)</f>
        <v>1</v>
      </c>
      <c r="Z113" s="977">
        <f t="shared" ref="Z113:Z122" si="248">IF(SUM(T113:X113)&gt;S113,S113,SUM(T113:X113))</f>
        <v>0</v>
      </c>
      <c r="AA113" s="934">
        <f>AA114</f>
        <v>5</v>
      </c>
      <c r="AC113" s="171">
        <f t="shared" ref="AC113:AC122" si="249">(Wat_Weight/Wat__Credits)*AA113</f>
        <v>2.2222222222222223E-2</v>
      </c>
      <c r="AD113" s="935">
        <f>SUM(AD114)</f>
        <v>0</v>
      </c>
      <c r="AE113" s="935">
        <f t="shared" ref="AE113:AF113" si="250">SUM(AE114)</f>
        <v>0</v>
      </c>
      <c r="AF113" s="935">
        <f t="shared" si="250"/>
        <v>0</v>
      </c>
      <c r="AH113" s="972">
        <f t="shared" ref="AH113" si="251">SUM(AH114)</f>
        <v>0</v>
      </c>
      <c r="AI113" s="972">
        <f t="shared" ref="AI113" si="252">SUM(AI114)</f>
        <v>0</v>
      </c>
      <c r="AJ113" s="972">
        <f t="shared" ref="AJ113" si="253">SUM(AJ114)</f>
        <v>0</v>
      </c>
      <c r="AL113" s="298"/>
      <c r="AM113" s="299"/>
      <c r="AN113" s="308"/>
      <c r="AO113" s="299"/>
      <c r="AP113" s="300"/>
      <c r="AQ113" s="139"/>
      <c r="AR113" s="298"/>
      <c r="AS113" s="299"/>
      <c r="AT113" s="299"/>
      <c r="AU113" s="299"/>
      <c r="AV113" s="300"/>
      <c r="AX113" s="218"/>
      <c r="AY113" s="219"/>
      <c r="AZ113" s="219"/>
      <c r="BA113" s="219"/>
      <c r="BB113" s="220"/>
      <c r="BC113" s="174">
        <f t="shared" si="59"/>
        <v>9</v>
      </c>
      <c r="BD113" s="164" t="str">
        <f t="shared" ref="BD113:BD122" si="254">VLOOKUP(BC113,$BN$282:$BS$288,6,FALSE)</f>
        <v>N/A</v>
      </c>
      <c r="BE113" s="178"/>
      <c r="BF113" s="174">
        <f>IF(BB113=0,9,IF(AI113&gt;=BB113,5,IF(AI113&gt;=BA113,4,IF(AI113&gt;=AZ113,3,IF(AI113&gt;=AY113,2,IF(AI113&lt;AX113,0,1))))))</f>
        <v>9</v>
      </c>
      <c r="BG113" s="164" t="str">
        <f t="shared" ref="BG113:BG122" si="255">VLOOKUP(BF113,$BN$282:$BS$288,6,FALSE)</f>
        <v>N/A</v>
      </c>
      <c r="BH113" s="178"/>
      <c r="BI113" s="174">
        <f t="shared" si="27"/>
        <v>9</v>
      </c>
      <c r="BJ113" s="164" t="str">
        <f t="shared" ref="BJ113:BJ122" si="256">VLOOKUP(BI113,$BN$282:$BS$288,6,FALSE)</f>
        <v>N/A</v>
      </c>
      <c r="BK113" s="178"/>
      <c r="BN113" s="167"/>
      <c r="BO113" s="167"/>
      <c r="BP113" s="167" t="str">
        <f t="shared" si="156"/>
        <v/>
      </c>
      <c r="BQ113" s="167">
        <f t="shared" si="196"/>
        <v>9</v>
      </c>
      <c r="BR113" s="167">
        <f t="shared" si="197"/>
        <v>9</v>
      </c>
      <c r="BS113" s="167">
        <f t="shared" si="198"/>
        <v>9</v>
      </c>
      <c r="BV113" s="164" t="str">
        <f>C113</f>
        <v>Wat 01</v>
      </c>
      <c r="BW113" s="164" t="str">
        <f>IFERROR(VLOOKUP($D113,'Pre-Assessment Estimator'!$E$11:$AB$224,'Pre-Assessment Estimator'!AB$2,FALSE),"")</f>
        <v>No</v>
      </c>
      <c r="BX113" s="164">
        <f>IFERROR(VLOOKUP($D113,'Pre-Assessment Estimator'!$E$11:$AI$224,'Pre-Assessment Estimator'!AI$2,FALSE),"")</f>
        <v>0</v>
      </c>
      <c r="BY113" s="164">
        <f t="shared" si="238"/>
        <v>1</v>
      </c>
      <c r="BZ113" s="164">
        <f t="shared" si="238"/>
        <v>0</v>
      </c>
      <c r="CA113" s="164"/>
      <c r="CB113" s="96" t="s">
        <v>432</v>
      </c>
    </row>
    <row r="114" spans="1:84" x14ac:dyDescent="0.25">
      <c r="A114" s="96">
        <v>106</v>
      </c>
      <c r="B114" s="96" t="str">
        <f t="shared" ref="B114" si="257">$C$113&amp;C114</f>
        <v>Wat 01a</v>
      </c>
      <c r="C114" s="163" t="s">
        <v>696</v>
      </c>
      <c r="D114" s="1138" t="s">
        <v>644</v>
      </c>
      <c r="E114" s="953">
        <v>5</v>
      </c>
      <c r="F114" s="953">
        <v>5</v>
      </c>
      <c r="G114" s="953">
        <v>5</v>
      </c>
      <c r="H114" s="953">
        <v>5</v>
      </c>
      <c r="I114" s="953">
        <v>5</v>
      </c>
      <c r="J114" s="953">
        <v>5</v>
      </c>
      <c r="K114" s="953">
        <v>5</v>
      </c>
      <c r="L114" s="953">
        <v>5</v>
      </c>
      <c r="M114" s="953">
        <v>5</v>
      </c>
      <c r="N114" s="953">
        <v>5</v>
      </c>
      <c r="O114" s="953">
        <v>5</v>
      </c>
      <c r="P114" s="953">
        <v>5</v>
      </c>
      <c r="Q114" s="953">
        <v>5</v>
      </c>
      <c r="R114" s="97"/>
      <c r="S114" s="221">
        <f t="shared" si="246"/>
        <v>5</v>
      </c>
      <c r="T114" s="166"/>
      <c r="U114" s="167"/>
      <c r="V114" s="167"/>
      <c r="W114" s="167"/>
      <c r="X114" s="169">
        <f>IF($X$4=$X$6,S114,0)</f>
        <v>0</v>
      </c>
      <c r="Y114" s="168">
        <f>VLOOKUP(B114,'Manuell filtrering og justering'!$A$7:$H$253,'Manuell filtrering og justering'!$H$1,FALSE)</f>
        <v>1</v>
      </c>
      <c r="Z114" s="169">
        <f t="shared" si="248"/>
        <v>0</v>
      </c>
      <c r="AA114" s="170">
        <f>IF($AB$5='Manuell filtrering og justering'!$J$2,Y114,(S114-Z114))</f>
        <v>5</v>
      </c>
      <c r="AC114" s="171">
        <f t="shared" si="249"/>
        <v>2.2222222222222223E-2</v>
      </c>
      <c r="AD114" s="171">
        <f t="shared" ref="AD114:AD122" si="258">IF(AA114=0,0,(AC114/AA114)*AH114)</f>
        <v>0</v>
      </c>
      <c r="AE114" s="171">
        <f t="shared" ref="AE114:AE122" si="259">IF(AA114=0,0,(AC114/AA114)*AI114)</f>
        <v>0</v>
      </c>
      <c r="AF114" s="171">
        <f t="shared" ref="AF114:AF122" si="260">IF(AA114=0,0,(AC114/AA114)*AJ114)</f>
        <v>0</v>
      </c>
      <c r="AH114" s="172">
        <f>IF(VLOOKUP(D114,'Pre-Assessment Estimator'!$E$11:$Z$224,'Pre-Assessment Estimator'!$G$2,FALSE)&gt;AA114,AA114,VLOOKUP(D114,'Pre-Assessment Estimator'!$E$11:$Z$224,'Pre-Assessment Estimator'!$G$2,FALSE))</f>
        <v>0</v>
      </c>
      <c r="AI114" s="172">
        <f>IF(VLOOKUP(D114,'Pre-Assessment Estimator'!$E$11:$Z$224,'Pre-Assessment Estimator'!$N$2,FALSE)&gt;AA114,AA114,VLOOKUP(D114,'Pre-Assessment Estimator'!$E$11:$Z$224,'Pre-Assessment Estimator'!$N$2,FALSE))</f>
        <v>0</v>
      </c>
      <c r="AJ114" s="172">
        <f>IF(VLOOKUP(D114,'Pre-Assessment Estimator'!$E$11:$Z$224,'Pre-Assessment Estimator'!$U$2,FALSE)&gt;AA114,AA114,VLOOKUP(D114,'Pre-Assessment Estimator'!$E$11:$Z$224,'Pre-Assessment Estimator'!$U$2,FALSE))</f>
        <v>0</v>
      </c>
      <c r="AL114" s="848"/>
      <c r="AM114" s="849"/>
      <c r="AN114" s="862"/>
      <c r="AO114" s="1207">
        <f>IF(AND($X$4&lt;&gt;$X$3,X114&gt;0),0,2)</f>
        <v>2</v>
      </c>
      <c r="AP114" s="1209">
        <f>IF(AND($X$4&lt;&gt;$X$3,X114&gt;0),0,2)</f>
        <v>2</v>
      </c>
      <c r="AQ114" s="139"/>
      <c r="AR114" s="848"/>
      <c r="AS114" s="849"/>
      <c r="AT114" s="849"/>
      <c r="AU114" s="849">
        <v>2</v>
      </c>
      <c r="AV114" s="850">
        <v>2</v>
      </c>
      <c r="AX114" s="719"/>
      <c r="AY114" s="720"/>
      <c r="AZ114" s="720"/>
      <c r="BA114" s="183">
        <f>IF($AA114=0,0,IF($D$6=$G$9,AU114,AO114))</f>
        <v>2</v>
      </c>
      <c r="BB114" s="183">
        <f>IF($AA114=0,0,IF($D$6=$G$9,AV114,AP114))</f>
        <v>2</v>
      </c>
      <c r="BC114" s="182">
        <f t="shared" ref="BC114" si="261">IF(BB114=0,9,IF(AH114&gt;=BB114,5,IF(AH114&gt;=BA114,4,IF(AH114&gt;=AZ114,3,IF(AH114&gt;=AY114,2,IF(AH114&lt;AX114,0,1))))))</f>
        <v>3</v>
      </c>
      <c r="BD114" s="164" t="str">
        <f t="shared" si="254"/>
        <v>Very Good</v>
      </c>
      <c r="BE114" s="185"/>
      <c r="BF114" s="182">
        <f>IF(BB114=0,9,IF(AI114&gt;=BB114,5,IF(AI114&gt;=BA114,4,IF(AI114&gt;=AZ114,3,IF(AI114&gt;=AY114,2,IF(AI114&lt;AX114,0,1))))))</f>
        <v>3</v>
      </c>
      <c r="BG114" s="164" t="str">
        <f t="shared" si="255"/>
        <v>Very Good</v>
      </c>
      <c r="BH114" s="185"/>
      <c r="BI114" s="182">
        <f t="shared" ref="BI114" si="262">IF(BB114=0,9,IF(AJ114&gt;=BB114,5,IF(AJ114&gt;=BA114,4,IF(AJ114&gt;=AZ114,3,IF(AJ114&gt;=AY114,2,IF(AJ114&lt;AX114,0,1))))))</f>
        <v>3</v>
      </c>
      <c r="BJ114" s="164" t="str">
        <f t="shared" si="256"/>
        <v>Very Good</v>
      </c>
      <c r="BK114" s="843"/>
      <c r="BN114" s="167"/>
      <c r="BO114" s="1199">
        <f>2*0</f>
        <v>0</v>
      </c>
      <c r="BP114" s="167">
        <f t="shared" si="156"/>
        <v>0</v>
      </c>
      <c r="BQ114" s="167">
        <f t="shared" si="196"/>
        <v>5</v>
      </c>
      <c r="BR114" s="167">
        <f t="shared" si="197"/>
        <v>5</v>
      </c>
      <c r="BS114" s="167">
        <f t="shared" si="198"/>
        <v>5</v>
      </c>
      <c r="BV114" s="164"/>
      <c r="BW114" s="164"/>
      <c r="BX114" s="164"/>
      <c r="BY114" s="164"/>
      <c r="BZ114" s="99"/>
      <c r="CA114" s="164"/>
    </row>
    <row r="115" spans="1:84" x14ac:dyDescent="0.25">
      <c r="A115" s="96">
        <v>107</v>
      </c>
      <c r="B115" s="137" t="str">
        <f>C115</f>
        <v>Wat 02</v>
      </c>
      <c r="C115" s="847" t="s">
        <v>172</v>
      </c>
      <c r="D115" s="845" t="s">
        <v>155</v>
      </c>
      <c r="E115" s="947">
        <f>SUM(E116)</f>
        <v>1</v>
      </c>
      <c r="F115" s="947">
        <f t="shared" ref="F115:Q115" si="263">SUM(F116)</f>
        <v>1</v>
      </c>
      <c r="G115" s="947">
        <f t="shared" si="263"/>
        <v>1</v>
      </c>
      <c r="H115" s="947">
        <f t="shared" si="263"/>
        <v>1</v>
      </c>
      <c r="I115" s="947">
        <f t="shared" si="263"/>
        <v>1</v>
      </c>
      <c r="J115" s="947">
        <f t="shared" si="263"/>
        <v>1</v>
      </c>
      <c r="K115" s="947">
        <f t="shared" si="263"/>
        <v>1</v>
      </c>
      <c r="L115" s="947">
        <f t="shared" si="263"/>
        <v>1</v>
      </c>
      <c r="M115" s="947">
        <f t="shared" si="263"/>
        <v>1</v>
      </c>
      <c r="N115" s="947">
        <f t="shared" si="263"/>
        <v>1</v>
      </c>
      <c r="O115" s="947">
        <f t="shared" si="263"/>
        <v>1</v>
      </c>
      <c r="P115" s="947">
        <f t="shared" si="263"/>
        <v>1</v>
      </c>
      <c r="Q115" s="947">
        <f t="shared" si="263"/>
        <v>1</v>
      </c>
      <c r="S115" s="977">
        <f t="shared" si="246"/>
        <v>1</v>
      </c>
      <c r="T115" s="222"/>
      <c r="U115" s="230"/>
      <c r="V115" s="230"/>
      <c r="W115" s="230">
        <f>'Manuell filtrering og justering'!E53</f>
        <v>0</v>
      </c>
      <c r="X115" s="230"/>
      <c r="Y115" s="972">
        <f t="shared" ref="Y115" si="264">SUM(Y116)</f>
        <v>1</v>
      </c>
      <c r="Z115" s="977">
        <f t="shared" si="248"/>
        <v>0</v>
      </c>
      <c r="AA115" s="934">
        <f>AA116</f>
        <v>1</v>
      </c>
      <c r="AC115" s="171">
        <f t="shared" si="249"/>
        <v>4.4444444444444444E-3</v>
      </c>
      <c r="AD115" s="935">
        <f>SUM(AD116)</f>
        <v>0</v>
      </c>
      <c r="AE115" s="935">
        <f t="shared" ref="AE115:AF115" si="265">SUM(AE116)</f>
        <v>0</v>
      </c>
      <c r="AF115" s="935">
        <f t="shared" si="265"/>
        <v>0</v>
      </c>
      <c r="AH115" s="972">
        <f t="shared" ref="AH115" si="266">SUM(AH116)</f>
        <v>0</v>
      </c>
      <c r="AI115" s="972">
        <f t="shared" ref="AI115" si="267">SUM(AI116)</f>
        <v>0</v>
      </c>
      <c r="AJ115" s="972">
        <f t="shared" ref="AJ115" si="268">SUM(AJ116)</f>
        <v>0</v>
      </c>
      <c r="AK115" s="96" t="s">
        <v>428</v>
      </c>
      <c r="AL115" s="292"/>
      <c r="AM115" s="293"/>
      <c r="AN115" s="293"/>
      <c r="AO115" s="293"/>
      <c r="AP115" s="294"/>
      <c r="AQ115" s="139"/>
      <c r="AR115" s="292"/>
      <c r="AS115" s="293"/>
      <c r="AT115" s="293"/>
      <c r="AU115" s="293"/>
      <c r="AV115" s="294"/>
      <c r="AX115" s="188"/>
      <c r="AY115" s="189"/>
      <c r="AZ115" s="189"/>
      <c r="BA115" s="189"/>
      <c r="BB115" s="190"/>
      <c r="BC115" s="182">
        <f t="shared" si="59"/>
        <v>9</v>
      </c>
      <c r="BD115" s="164" t="str">
        <f t="shared" si="254"/>
        <v>N/A</v>
      </c>
      <c r="BE115" s="185"/>
      <c r="BF115" s="182">
        <f>IF(BB115=0,9,IF(AI115&gt;=BB115,5,IF(AI115&gt;=BA115,4,IF(AI115&gt;=AZ115,3,IF(AI115&gt;=AY115,2,IF(AI115&lt;AX115,0,1))))))</f>
        <v>9</v>
      </c>
      <c r="BG115" s="164" t="str">
        <f t="shared" si="255"/>
        <v>N/A</v>
      </c>
      <c r="BH115" s="185"/>
      <c r="BI115" s="182">
        <f t="shared" si="27"/>
        <v>9</v>
      </c>
      <c r="BJ115" s="164" t="str">
        <f t="shared" si="256"/>
        <v>N/A</v>
      </c>
      <c r="BK115" s="185"/>
      <c r="BN115" s="167"/>
      <c r="BO115" s="167"/>
      <c r="BP115" s="167" t="str">
        <f t="shared" si="156"/>
        <v/>
      </c>
      <c r="BQ115" s="167">
        <f t="shared" si="196"/>
        <v>9</v>
      </c>
      <c r="BR115" s="167">
        <f t="shared" si="197"/>
        <v>9</v>
      </c>
      <c r="BS115" s="167">
        <f t="shared" si="198"/>
        <v>9</v>
      </c>
      <c r="BV115" s="167" t="str">
        <f>C115</f>
        <v>Wat 02</v>
      </c>
      <c r="BW115" s="167" t="str">
        <f>IFERROR(VLOOKUP($D115,'Pre-Assessment Estimator'!$E$11:$AB$224,'Pre-Assessment Estimator'!AB$2,FALSE),"")</f>
        <v>No</v>
      </c>
      <c r="BX115" s="230" t="str">
        <f>IFERROR(VLOOKUP($D115,'Pre-Assessment Estimator'!$E$11:$AI$224,'Pre-Assessment Estimator'!AI$2,FALSE),"")</f>
        <v>Ja</v>
      </c>
      <c r="BY115" s="167">
        <f>IFERROR(VLOOKUP($BW115,$D$291:$G$324,E$289,FALSE),"")</f>
        <v>1</v>
      </c>
      <c r="BZ115" s="688" t="s">
        <v>433</v>
      </c>
      <c r="CA115" s="167"/>
      <c r="CB115" s="96" t="str">
        <f>IFERROR(VLOOKUP($BW115,$D$291:$G$324,H$289,FALSE),"")</f>
        <v/>
      </c>
      <c r="CC115" s="96" t="s">
        <v>439</v>
      </c>
      <c r="CD115" s="167">
        <f>VLOOKUP(BZ115,$BZ$4:$CA$5,2,FALSE)</f>
        <v>1</v>
      </c>
      <c r="CF115" s="689">
        <f>IF($BW$5=ais_no,CD115,IF(AND(BZ115=$BZ$4,BW115=$CB$4),0,BY115))</f>
        <v>1</v>
      </c>
    </row>
    <row r="116" spans="1:84" x14ac:dyDescent="0.25">
      <c r="A116" s="96">
        <v>108</v>
      </c>
      <c r="B116" s="96" t="str">
        <f t="shared" ref="B116" si="269">$C$115&amp;C116</f>
        <v>Wat 02a</v>
      </c>
      <c r="C116" s="166" t="s">
        <v>696</v>
      </c>
      <c r="D116" s="1138" t="s">
        <v>645</v>
      </c>
      <c r="E116" s="788">
        <v>1</v>
      </c>
      <c r="F116" s="788">
        <v>1</v>
      </c>
      <c r="G116" s="788">
        <v>1</v>
      </c>
      <c r="H116" s="788">
        <v>1</v>
      </c>
      <c r="I116" s="788">
        <v>1</v>
      </c>
      <c r="J116" s="788">
        <v>1</v>
      </c>
      <c r="K116" s="788">
        <v>1</v>
      </c>
      <c r="L116" s="788">
        <v>1</v>
      </c>
      <c r="M116" s="788">
        <v>1</v>
      </c>
      <c r="N116" s="788">
        <v>1</v>
      </c>
      <c r="O116" s="788">
        <v>1</v>
      </c>
      <c r="P116" s="788">
        <v>1</v>
      </c>
      <c r="Q116" s="788">
        <v>1</v>
      </c>
      <c r="S116" s="221">
        <f t="shared" si="246"/>
        <v>1</v>
      </c>
      <c r="T116" s="166"/>
      <c r="U116" s="167"/>
      <c r="V116" s="167"/>
      <c r="W116" s="167"/>
      <c r="X116" s="168"/>
      <c r="Y116" s="168">
        <f>VLOOKUP(B116,'Manuell filtrering og justering'!$A$7:$H$253,'Manuell filtrering og justering'!$H$1,FALSE)</f>
        <v>1</v>
      </c>
      <c r="Z116" s="169">
        <f t="shared" si="248"/>
        <v>0</v>
      </c>
      <c r="AA116" s="170">
        <f>IF($AB$5='Manuell filtrering og justering'!$J$2,Y116,(S116-Z116))</f>
        <v>1</v>
      </c>
      <c r="AC116" s="171">
        <f t="shared" si="249"/>
        <v>4.4444444444444444E-3</v>
      </c>
      <c r="AD116" s="171">
        <f t="shared" si="258"/>
        <v>0</v>
      </c>
      <c r="AE116" s="171">
        <f t="shared" si="259"/>
        <v>0</v>
      </c>
      <c r="AF116" s="171">
        <f t="shared" si="260"/>
        <v>0</v>
      </c>
      <c r="AH116" s="172">
        <f>IF(VLOOKUP(D116,'Pre-Assessment Estimator'!$E$11:$Z$224,'Pre-Assessment Estimator'!$G$2,FALSE)&gt;AA116,AA116,VLOOKUP(D116,'Pre-Assessment Estimator'!$E$11:$Z$224,'Pre-Assessment Estimator'!$G$2,FALSE))</f>
        <v>0</v>
      </c>
      <c r="AI116" s="172">
        <f>IF(VLOOKUP(D116,'Pre-Assessment Estimator'!$E$11:$Z$224,'Pre-Assessment Estimator'!$N$2,FALSE)&gt;AA116,AA116,VLOOKUP(D116,'Pre-Assessment Estimator'!$E$11:$Z$224,'Pre-Assessment Estimator'!$N$2,FALSE))</f>
        <v>0</v>
      </c>
      <c r="AJ116" s="172">
        <f>IF(VLOOKUP(D116,'Pre-Assessment Estimator'!$E$11:$Z$224,'Pre-Assessment Estimator'!$U$2,FALSE)&gt;AA116,AA116,VLOOKUP(D116,'Pre-Assessment Estimator'!$E$11:$Z$224,'Pre-Assessment Estimator'!$U$2,FALSE))</f>
        <v>0</v>
      </c>
      <c r="AL116" s="292"/>
      <c r="AM116" s="293"/>
      <c r="AN116" s="293"/>
      <c r="AO116" s="293"/>
      <c r="AP116" s="294"/>
      <c r="AQ116" s="139"/>
      <c r="AR116" s="292"/>
      <c r="AS116" s="293"/>
      <c r="AT116" s="293"/>
      <c r="AU116" s="293"/>
      <c r="AV116" s="294"/>
      <c r="AX116" s="188"/>
      <c r="AY116" s="189"/>
      <c r="AZ116" s="189"/>
      <c r="BA116" s="189"/>
      <c r="BB116" s="190"/>
      <c r="BC116" s="182">
        <f t="shared" si="59"/>
        <v>9</v>
      </c>
      <c r="BD116" s="164" t="str">
        <f t="shared" si="254"/>
        <v>N/A</v>
      </c>
      <c r="BE116" s="185"/>
      <c r="BF116" s="182">
        <f t="shared" ref="BF116:BF120" si="270">IF(BB116=0,9,IF(AI116&gt;=BB116,5,IF(AI116&gt;=BA116,4,IF(AI116&gt;=AZ116,3,IF(AI116&gt;=AY116,2,IF(AI116&lt;AX116,0,1))))))</f>
        <v>9</v>
      </c>
      <c r="BG116" s="164" t="str">
        <f t="shared" si="255"/>
        <v>N/A</v>
      </c>
      <c r="BH116" s="185"/>
      <c r="BI116" s="182">
        <f t="shared" si="27"/>
        <v>9</v>
      </c>
      <c r="BJ116" s="164" t="str">
        <f t="shared" si="256"/>
        <v>N/A</v>
      </c>
      <c r="BK116" s="185"/>
      <c r="BN116" s="167"/>
      <c r="BO116" s="167"/>
      <c r="BP116" s="167" t="str">
        <f t="shared" si="156"/>
        <v/>
      </c>
      <c r="BQ116" s="167">
        <f t="shared" si="196"/>
        <v>9</v>
      </c>
      <c r="BR116" s="167">
        <f t="shared" si="197"/>
        <v>9</v>
      </c>
      <c r="BS116" s="167">
        <f t="shared" si="198"/>
        <v>9</v>
      </c>
      <c r="BV116" s="167"/>
      <c r="BW116" s="167"/>
      <c r="BX116" s="230"/>
      <c r="BY116" s="167"/>
      <c r="BZ116" s="688"/>
      <c r="CA116" s="167"/>
      <c r="CD116" s="167"/>
      <c r="CF116" s="689"/>
    </row>
    <row r="117" spans="1:84" x14ac:dyDescent="0.25">
      <c r="A117" s="96">
        <v>109</v>
      </c>
      <c r="B117" s="137" t="str">
        <f>C117</f>
        <v>Wat 03</v>
      </c>
      <c r="C117" s="847" t="s">
        <v>173</v>
      </c>
      <c r="D117" s="845" t="s">
        <v>156</v>
      </c>
      <c r="E117" s="947">
        <f>SUM(E118:E120)</f>
        <v>2</v>
      </c>
      <c r="F117" s="947">
        <f t="shared" ref="F117:Q117" si="271">SUM(F118:F120)</f>
        <v>2</v>
      </c>
      <c r="G117" s="947">
        <f t="shared" si="271"/>
        <v>2</v>
      </c>
      <c r="H117" s="947">
        <f t="shared" si="271"/>
        <v>2</v>
      </c>
      <c r="I117" s="947">
        <f t="shared" si="271"/>
        <v>2</v>
      </c>
      <c r="J117" s="947">
        <f t="shared" si="271"/>
        <v>2</v>
      </c>
      <c r="K117" s="947">
        <f t="shared" si="271"/>
        <v>2</v>
      </c>
      <c r="L117" s="947">
        <f t="shared" si="271"/>
        <v>2</v>
      </c>
      <c r="M117" s="947">
        <f t="shared" si="271"/>
        <v>2</v>
      </c>
      <c r="N117" s="947">
        <f t="shared" si="271"/>
        <v>2</v>
      </c>
      <c r="O117" s="947">
        <f t="shared" si="271"/>
        <v>2</v>
      </c>
      <c r="P117" s="947">
        <f t="shared" ref="P117" si="272">SUM(P118:P120)</f>
        <v>2</v>
      </c>
      <c r="Q117" s="947">
        <f t="shared" si="271"/>
        <v>2</v>
      </c>
      <c r="S117" s="977">
        <f t="shared" si="246"/>
        <v>2</v>
      </c>
      <c r="T117" s="222"/>
      <c r="U117" s="230"/>
      <c r="V117" s="230"/>
      <c r="W117" s="230">
        <f>'Manuell filtrering og justering'!E54</f>
        <v>0</v>
      </c>
      <c r="X117" s="230"/>
      <c r="Y117" s="972">
        <f t="shared" ref="Y117" si="273">SUM(Y118:Y120)</f>
        <v>3</v>
      </c>
      <c r="Z117" s="977">
        <f t="shared" si="248"/>
        <v>0</v>
      </c>
      <c r="AA117" s="1081">
        <f>SUM(AA118:AA120)</f>
        <v>2</v>
      </c>
      <c r="AC117" s="171">
        <f t="shared" si="249"/>
        <v>8.8888888888888889E-3</v>
      </c>
      <c r="AD117" s="935">
        <f>SUM(AD118:AD120)</f>
        <v>0</v>
      </c>
      <c r="AE117" s="935">
        <f t="shared" ref="AE117:AF117" si="274">SUM(AE118:AE120)</f>
        <v>0</v>
      </c>
      <c r="AF117" s="935">
        <f t="shared" si="274"/>
        <v>0</v>
      </c>
      <c r="AH117" s="972">
        <f t="shared" ref="AH117" si="275">SUM(AH118:AH120)</f>
        <v>0</v>
      </c>
      <c r="AI117" s="972">
        <f t="shared" ref="AI117" si="276">SUM(AI118:AI120)</f>
        <v>0</v>
      </c>
      <c r="AJ117" s="972">
        <f t="shared" ref="AJ117" si="277">SUM(AJ118:AJ120)</f>
        <v>0</v>
      </c>
      <c r="AK117" s="96" t="s">
        <v>428</v>
      </c>
      <c r="AL117" s="292"/>
      <c r="AM117" s="293"/>
      <c r="AN117" s="293"/>
      <c r="AO117" s="293"/>
      <c r="AP117" s="294"/>
      <c r="AQ117" s="139"/>
      <c r="AR117" s="292"/>
      <c r="AS117" s="293"/>
      <c r="AT117" s="293"/>
      <c r="AU117" s="293"/>
      <c r="AV117" s="294"/>
      <c r="AX117" s="188"/>
      <c r="AY117" s="189"/>
      <c r="AZ117" s="189"/>
      <c r="BA117" s="189"/>
      <c r="BB117" s="190"/>
      <c r="BC117" s="182">
        <f t="shared" ref="BC117:BC120" si="278">IF(BB117=0,9,IF(AH117&gt;=BB117,5,IF(AH117&gt;=BA117,4,IF(AH117&gt;=AZ117,3,IF(AH117&gt;=AY117,2,IF(AH117&lt;AX117,0,1))))))</f>
        <v>9</v>
      </c>
      <c r="BD117" s="164" t="str">
        <f t="shared" si="254"/>
        <v>N/A</v>
      </c>
      <c r="BE117" s="185"/>
      <c r="BF117" s="182">
        <f t="shared" si="270"/>
        <v>9</v>
      </c>
      <c r="BG117" s="164" t="str">
        <f t="shared" si="255"/>
        <v>N/A</v>
      </c>
      <c r="BH117" s="185"/>
      <c r="BI117" s="182">
        <f t="shared" ref="BI117:BI120" si="279">IF(BB117=0,9,IF(AJ117&gt;=BB117,5,IF(AJ117&gt;=BA117,4,IF(AJ117&gt;=AZ117,3,IF(AJ117&gt;=AY117,2,IF(AJ117&lt;AX117,0,1))))))</f>
        <v>9</v>
      </c>
      <c r="BJ117" s="164" t="str">
        <f t="shared" si="256"/>
        <v>N/A</v>
      </c>
      <c r="BK117" s="185"/>
      <c r="BN117" s="167"/>
      <c r="BO117" s="167"/>
      <c r="BP117" s="167" t="str">
        <f t="shared" si="156"/>
        <v/>
      </c>
      <c r="BQ117" s="167">
        <f t="shared" si="196"/>
        <v>9</v>
      </c>
      <c r="BR117" s="167">
        <f t="shared" si="197"/>
        <v>9</v>
      </c>
      <c r="BS117" s="167">
        <f t="shared" si="198"/>
        <v>9</v>
      </c>
      <c r="BV117" s="167" t="str">
        <f>C117</f>
        <v>Wat 03</v>
      </c>
      <c r="BW117" s="167" t="str">
        <f>IFERROR(VLOOKUP($D117,'Pre-Assessment Estimator'!$E$11:$AB$224,'Pre-Assessment Estimator'!AB$2,FALSE),"")</f>
        <v>No</v>
      </c>
      <c r="BX117" s="230" t="str">
        <f>IFERROR(VLOOKUP($D117,'Pre-Assessment Estimator'!$E$11:$AI$224,'Pre-Assessment Estimator'!AI$2,FALSE),"")</f>
        <v>Ja</v>
      </c>
      <c r="BY117" s="167">
        <f>IFERROR(VLOOKUP($BW117,$D$291:$G$324,E$289,FALSE),"")</f>
        <v>1</v>
      </c>
      <c r="BZ117" s="680" t="s">
        <v>431</v>
      </c>
      <c r="CA117" s="167">
        <f>G310</f>
        <v>1</v>
      </c>
      <c r="CB117" s="96" t="str">
        <f>IFERROR(VLOOKUP($BW117,$D$291:$G$324,H$289,FALSE),"")</f>
        <v/>
      </c>
      <c r="CC117" s="96" t="s">
        <v>406</v>
      </c>
      <c r="CD117" s="167">
        <f>VLOOKUP(BZ117,$BZ$4:$CA$5,2,FALSE)</f>
        <v>0</v>
      </c>
      <c r="CF117" s="689">
        <f>IF($BW$5=ais_no,CD117,IF(AND(BZ117=$BZ$4,BW117=$CB$4),0,BY117))</f>
        <v>0</v>
      </c>
    </row>
    <row r="118" spans="1:84" x14ac:dyDescent="0.25">
      <c r="A118" s="96">
        <v>110</v>
      </c>
      <c r="B118" s="96" t="str">
        <f t="shared" ref="B118:B120" si="280">$C$117&amp;C118</f>
        <v>Wat 03a</v>
      </c>
      <c r="C118" s="163" t="s">
        <v>696</v>
      </c>
      <c r="D118" s="1138" t="s">
        <v>646</v>
      </c>
      <c r="E118" s="788">
        <v>1</v>
      </c>
      <c r="F118" s="788">
        <v>1</v>
      </c>
      <c r="G118" s="788">
        <v>1</v>
      </c>
      <c r="H118" s="788">
        <v>1</v>
      </c>
      <c r="I118" s="788">
        <v>1</v>
      </c>
      <c r="J118" s="788">
        <v>1</v>
      </c>
      <c r="K118" s="788">
        <v>1</v>
      </c>
      <c r="L118" s="788">
        <v>1</v>
      </c>
      <c r="M118" s="788">
        <v>1</v>
      </c>
      <c r="N118" s="788">
        <v>1</v>
      </c>
      <c r="O118" s="788">
        <v>1</v>
      </c>
      <c r="P118" s="788">
        <v>1</v>
      </c>
      <c r="Q118" s="788">
        <v>1</v>
      </c>
      <c r="R118" s="97"/>
      <c r="S118" s="221">
        <f t="shared" si="246"/>
        <v>1</v>
      </c>
      <c r="T118" s="166"/>
      <c r="U118" s="167"/>
      <c r="V118" s="167"/>
      <c r="W118" s="167"/>
      <c r="X118" s="168"/>
      <c r="Y118" s="168">
        <f>VLOOKUP(B118,'Manuell filtrering og justering'!$A$7:$H$253,'Manuell filtrering og justering'!$H$1,FALSE)</f>
        <v>1</v>
      </c>
      <c r="Z118" s="169">
        <f t="shared" si="248"/>
        <v>0</v>
      </c>
      <c r="AA118" s="170">
        <f>IF($AB$5='Manuell filtrering og justering'!$J$2,Y118,(S118-Z118))</f>
        <v>1</v>
      </c>
      <c r="AC118" s="171">
        <f t="shared" si="249"/>
        <v>4.4444444444444444E-3</v>
      </c>
      <c r="AD118" s="171">
        <f t="shared" si="258"/>
        <v>0</v>
      </c>
      <c r="AE118" s="171">
        <f t="shared" si="259"/>
        <v>0</v>
      </c>
      <c r="AF118" s="171">
        <f t="shared" si="260"/>
        <v>0</v>
      </c>
      <c r="AH118" s="172">
        <f>IF(VLOOKUP(D118,'Pre-Assessment Estimator'!$E$11:$Z$224,'Pre-Assessment Estimator'!$G$2,FALSE)&gt;AA118,AA118,VLOOKUP(D118,'Pre-Assessment Estimator'!$E$11:$Z$224,'Pre-Assessment Estimator'!$G$2,FALSE))</f>
        <v>0</v>
      </c>
      <c r="AI118" s="172">
        <f>IF(VLOOKUP(D118,'Pre-Assessment Estimator'!$E$11:$Z$224,'Pre-Assessment Estimator'!$N$2,FALSE)&gt;AA118,AA118,VLOOKUP(D118,'Pre-Assessment Estimator'!$E$11:$Z$224,'Pre-Assessment Estimator'!$N$2,FALSE))</f>
        <v>0</v>
      </c>
      <c r="AJ118" s="172">
        <f>IF(VLOOKUP(D118,'Pre-Assessment Estimator'!$E$11:$Z$224,'Pre-Assessment Estimator'!$U$2,FALSE)&gt;AA118,AA118,VLOOKUP(D118,'Pre-Assessment Estimator'!$E$11:$Z$224,'Pre-Assessment Estimator'!$U$2,FALSE))</f>
        <v>0</v>
      </c>
      <c r="AL118" s="863"/>
      <c r="AM118" s="864"/>
      <c r="AN118" s="864"/>
      <c r="AO118" s="864"/>
      <c r="AP118" s="856"/>
      <c r="AQ118" s="139"/>
      <c r="AR118" s="863"/>
      <c r="AS118" s="864"/>
      <c r="AT118" s="864"/>
      <c r="AU118" s="864"/>
      <c r="AV118" s="856"/>
      <c r="AX118" s="742"/>
      <c r="AY118" s="744"/>
      <c r="AZ118" s="744"/>
      <c r="BA118" s="744"/>
      <c r="BB118" s="865"/>
      <c r="BC118" s="182">
        <f t="shared" si="278"/>
        <v>9</v>
      </c>
      <c r="BD118" s="164" t="str">
        <f t="shared" si="254"/>
        <v>N/A</v>
      </c>
      <c r="BE118" s="185"/>
      <c r="BF118" s="182">
        <f t="shared" si="270"/>
        <v>9</v>
      </c>
      <c r="BG118" s="164" t="str">
        <f t="shared" si="255"/>
        <v>N/A</v>
      </c>
      <c r="BH118" s="185"/>
      <c r="BI118" s="182">
        <f t="shared" si="279"/>
        <v>9</v>
      </c>
      <c r="BJ118" s="164" t="str">
        <f t="shared" si="256"/>
        <v>N/A</v>
      </c>
      <c r="BK118" s="860"/>
      <c r="BN118" s="167"/>
      <c r="BO118" s="167"/>
      <c r="BP118" s="167" t="str">
        <f t="shared" si="156"/>
        <v/>
      </c>
      <c r="BQ118" s="167">
        <f t="shared" si="196"/>
        <v>9</v>
      </c>
      <c r="BR118" s="167">
        <f t="shared" si="197"/>
        <v>9</v>
      </c>
      <c r="BS118" s="167">
        <f t="shared" si="198"/>
        <v>9</v>
      </c>
      <c r="BV118" s="167"/>
      <c r="BW118" s="167"/>
      <c r="BX118" s="230"/>
      <c r="BY118" s="167"/>
      <c r="BZ118" s="680"/>
      <c r="CA118" s="167"/>
      <c r="CD118" s="99"/>
      <c r="CF118" s="689"/>
    </row>
    <row r="119" spans="1:84" x14ac:dyDescent="0.25">
      <c r="A119" s="96">
        <v>111</v>
      </c>
      <c r="B119" s="96" t="str">
        <f t="shared" si="280"/>
        <v>Wat 03b</v>
      </c>
      <c r="C119" s="163" t="s">
        <v>699</v>
      </c>
      <c r="D119" s="1138" t="s">
        <v>923</v>
      </c>
      <c r="E119" s="788">
        <v>1</v>
      </c>
      <c r="F119" s="788">
        <v>1</v>
      </c>
      <c r="G119" s="1036">
        <v>0</v>
      </c>
      <c r="H119" s="788">
        <v>1</v>
      </c>
      <c r="I119" s="788">
        <v>1</v>
      </c>
      <c r="J119" s="788">
        <v>1</v>
      </c>
      <c r="K119" s="788">
        <v>1</v>
      </c>
      <c r="L119" s="788">
        <v>1</v>
      </c>
      <c r="M119" s="788">
        <v>1</v>
      </c>
      <c r="N119" s="788">
        <v>1</v>
      </c>
      <c r="O119" s="788">
        <v>1</v>
      </c>
      <c r="P119" s="788">
        <v>1</v>
      </c>
      <c r="Q119" s="788">
        <v>1</v>
      </c>
      <c r="R119" s="97"/>
      <c r="S119" s="221">
        <f t="shared" si="246"/>
        <v>1</v>
      </c>
      <c r="T119" s="166"/>
      <c r="U119" s="167"/>
      <c r="V119" s="167"/>
      <c r="W119" s="167"/>
      <c r="X119" s="169">
        <f>IF($X$4=$X$6,S119,0)</f>
        <v>0</v>
      </c>
      <c r="Y119" s="168">
        <f>VLOOKUP(B119,'Manuell filtrering og justering'!$A$7:$H$253,'Manuell filtrering og justering'!$H$1,FALSE)</f>
        <v>1</v>
      </c>
      <c r="Z119" s="169">
        <f t="shared" si="248"/>
        <v>0</v>
      </c>
      <c r="AA119" s="170">
        <f>IF($AB$5='Manuell filtrering og justering'!$J$2,Y119,(S119-Z119))</f>
        <v>1</v>
      </c>
      <c r="AC119" s="171">
        <f t="shared" si="249"/>
        <v>4.4444444444444444E-3</v>
      </c>
      <c r="AD119" s="171">
        <f t="shared" si="258"/>
        <v>0</v>
      </c>
      <c r="AE119" s="171">
        <f t="shared" si="259"/>
        <v>0</v>
      </c>
      <c r="AF119" s="171">
        <f t="shared" si="260"/>
        <v>0</v>
      </c>
      <c r="AH119" s="172">
        <f>IF(VLOOKUP(D119,'Pre-Assessment Estimator'!$E$11:$Z$224,'Pre-Assessment Estimator'!$G$2,FALSE)&gt;AA119,AA119,VLOOKUP(D119,'Pre-Assessment Estimator'!$E$11:$Z$224,'Pre-Assessment Estimator'!$G$2,FALSE))</f>
        <v>0</v>
      </c>
      <c r="AI119" s="172">
        <f>IF(VLOOKUP(D119,'Pre-Assessment Estimator'!$E$11:$Z$224,'Pre-Assessment Estimator'!$N$2,FALSE)&gt;AA119,AA119,VLOOKUP(D119,'Pre-Assessment Estimator'!$E$11:$Z$224,'Pre-Assessment Estimator'!$N$2,FALSE))</f>
        <v>0</v>
      </c>
      <c r="AJ119" s="172">
        <f>IF(VLOOKUP(D119,'Pre-Assessment Estimator'!$E$11:$Z$224,'Pre-Assessment Estimator'!$U$2,FALSE)&gt;AA119,AA119,VLOOKUP(D119,'Pre-Assessment Estimator'!$E$11:$Z$224,'Pre-Assessment Estimator'!$U$2,FALSE))</f>
        <v>0</v>
      </c>
      <c r="AL119" s="863"/>
      <c r="AM119" s="864"/>
      <c r="AN119" s="864"/>
      <c r="AO119" s="864"/>
      <c r="AP119" s="856"/>
      <c r="AQ119" s="139"/>
      <c r="AR119" s="863"/>
      <c r="AS119" s="864"/>
      <c r="AT119" s="864"/>
      <c r="AU119" s="864"/>
      <c r="AV119" s="856"/>
      <c r="AX119" s="742"/>
      <c r="AY119" s="744"/>
      <c r="AZ119" s="744"/>
      <c r="BA119" s="744"/>
      <c r="BB119" s="865"/>
      <c r="BC119" s="182">
        <f t="shared" si="278"/>
        <v>9</v>
      </c>
      <c r="BD119" s="164" t="str">
        <f t="shared" si="254"/>
        <v>N/A</v>
      </c>
      <c r="BE119" s="185"/>
      <c r="BF119" s="182">
        <f t="shared" si="270"/>
        <v>9</v>
      </c>
      <c r="BG119" s="164" t="str">
        <f t="shared" si="255"/>
        <v>N/A</v>
      </c>
      <c r="BH119" s="185"/>
      <c r="BI119" s="182">
        <f t="shared" si="279"/>
        <v>9</v>
      </c>
      <c r="BJ119" s="164" t="str">
        <f t="shared" si="256"/>
        <v>N/A</v>
      </c>
      <c r="BK119" s="860"/>
      <c r="BN119" s="167"/>
      <c r="BO119" s="167"/>
      <c r="BP119" s="167" t="str">
        <f t="shared" si="156"/>
        <v/>
      </c>
      <c r="BQ119" s="167">
        <f t="shared" si="196"/>
        <v>9</v>
      </c>
      <c r="BR119" s="167">
        <f t="shared" si="197"/>
        <v>9</v>
      </c>
      <c r="BS119" s="167">
        <f t="shared" si="198"/>
        <v>9</v>
      </c>
      <c r="BV119" s="167"/>
      <c r="BW119" s="167"/>
      <c r="BX119" s="230"/>
      <c r="BY119" s="167"/>
      <c r="BZ119" s="680"/>
      <c r="CA119" s="167"/>
      <c r="CD119" s="99"/>
      <c r="CF119" s="689"/>
    </row>
    <row r="120" spans="1:84" x14ac:dyDescent="0.25">
      <c r="A120" s="96">
        <v>112</v>
      </c>
      <c r="B120" s="96" t="str">
        <f t="shared" si="280"/>
        <v>Wat 03c</v>
      </c>
      <c r="C120" s="166" t="s">
        <v>700</v>
      </c>
      <c r="D120" s="1138" t="s">
        <v>648</v>
      </c>
      <c r="E120" s="788">
        <v>0</v>
      </c>
      <c r="F120" s="788">
        <v>0</v>
      </c>
      <c r="G120" s="1036">
        <v>1</v>
      </c>
      <c r="H120" s="788">
        <v>0</v>
      </c>
      <c r="I120" s="788">
        <v>0</v>
      </c>
      <c r="J120" s="788">
        <v>0</v>
      </c>
      <c r="K120" s="788">
        <v>0</v>
      </c>
      <c r="L120" s="788">
        <v>0</v>
      </c>
      <c r="M120" s="788">
        <v>0</v>
      </c>
      <c r="N120" s="788">
        <v>0</v>
      </c>
      <c r="O120" s="788">
        <v>0</v>
      </c>
      <c r="P120" s="788">
        <v>0</v>
      </c>
      <c r="Q120" s="788">
        <v>0</v>
      </c>
      <c r="R120" s="97"/>
      <c r="S120" s="221">
        <f t="shared" si="246"/>
        <v>0</v>
      </c>
      <c r="T120" s="166"/>
      <c r="U120" s="167"/>
      <c r="V120" s="167"/>
      <c r="W120" s="167"/>
      <c r="X120" s="168"/>
      <c r="Y120" s="168">
        <f>VLOOKUP(B120,'Manuell filtrering og justering'!$A$7:$H$253,'Manuell filtrering og justering'!$H$1,FALSE)</f>
        <v>1</v>
      </c>
      <c r="Z120" s="169">
        <f t="shared" si="248"/>
        <v>0</v>
      </c>
      <c r="AA120" s="170">
        <f>IF($AB$5='Manuell filtrering og justering'!$J$2,Y120,(S120-Z120))</f>
        <v>0</v>
      </c>
      <c r="AC120" s="171">
        <f t="shared" si="249"/>
        <v>0</v>
      </c>
      <c r="AD120" s="171">
        <f t="shared" si="258"/>
        <v>0</v>
      </c>
      <c r="AE120" s="171">
        <f t="shared" si="259"/>
        <v>0</v>
      </c>
      <c r="AF120" s="171">
        <f t="shared" si="260"/>
        <v>0</v>
      </c>
      <c r="AH120" s="172">
        <f>IF(VLOOKUP(D120,'Pre-Assessment Estimator'!$E$11:$Z$224,'Pre-Assessment Estimator'!$G$2,FALSE)&gt;AA120,AA120,VLOOKUP(D120,'Pre-Assessment Estimator'!$E$11:$Z$224,'Pre-Assessment Estimator'!$G$2,FALSE))</f>
        <v>0</v>
      </c>
      <c r="AI120" s="172">
        <f>IF(VLOOKUP(D120,'Pre-Assessment Estimator'!$E$11:$Z$224,'Pre-Assessment Estimator'!$N$2,FALSE)&gt;AA120,AA120,VLOOKUP(D120,'Pre-Assessment Estimator'!$E$11:$Z$224,'Pre-Assessment Estimator'!$N$2,FALSE))</f>
        <v>0</v>
      </c>
      <c r="AJ120" s="172">
        <f>IF(VLOOKUP(D120,'Pre-Assessment Estimator'!$E$11:$Z$224,'Pre-Assessment Estimator'!$U$2,FALSE)&gt;AA120,AA120,VLOOKUP(D120,'Pre-Assessment Estimator'!$E$11:$Z$224,'Pre-Assessment Estimator'!$U$2,FALSE))</f>
        <v>0</v>
      </c>
      <c r="AL120" s="863"/>
      <c r="AM120" s="864"/>
      <c r="AN120" s="864"/>
      <c r="AO120" s="864"/>
      <c r="AP120" s="856"/>
      <c r="AQ120" s="139"/>
      <c r="AR120" s="863"/>
      <c r="AS120" s="864"/>
      <c r="AT120" s="864"/>
      <c r="AU120" s="864"/>
      <c r="AV120" s="856"/>
      <c r="AX120" s="742"/>
      <c r="AY120" s="744"/>
      <c r="AZ120" s="744"/>
      <c r="BA120" s="744"/>
      <c r="BB120" s="865"/>
      <c r="BC120" s="182">
        <f t="shared" si="278"/>
        <v>9</v>
      </c>
      <c r="BD120" s="164" t="str">
        <f t="shared" si="254"/>
        <v>N/A</v>
      </c>
      <c r="BE120" s="185"/>
      <c r="BF120" s="182">
        <f t="shared" si="270"/>
        <v>9</v>
      </c>
      <c r="BG120" s="164" t="str">
        <f t="shared" si="255"/>
        <v>N/A</v>
      </c>
      <c r="BH120" s="185"/>
      <c r="BI120" s="182">
        <f t="shared" si="279"/>
        <v>9</v>
      </c>
      <c r="BJ120" s="164" t="str">
        <f t="shared" si="256"/>
        <v>N/A</v>
      </c>
      <c r="BK120" s="860"/>
      <c r="BN120" s="167"/>
      <c r="BO120" s="167"/>
      <c r="BP120" s="167" t="str">
        <f t="shared" si="156"/>
        <v/>
      </c>
      <c r="BQ120" s="167">
        <f t="shared" si="196"/>
        <v>9</v>
      </c>
      <c r="BR120" s="167">
        <f t="shared" si="197"/>
        <v>9</v>
      </c>
      <c r="BS120" s="167">
        <f t="shared" si="198"/>
        <v>9</v>
      </c>
      <c r="BV120" s="167"/>
      <c r="BW120" s="167"/>
      <c r="BX120" s="230"/>
      <c r="BY120" s="167"/>
      <c r="BZ120" s="680"/>
      <c r="CA120" s="167"/>
      <c r="CD120" s="99"/>
      <c r="CF120" s="689"/>
    </row>
    <row r="121" spans="1:84" ht="15.75" thickBot="1" x14ac:dyDescent="0.3">
      <c r="A121" s="96">
        <v>113</v>
      </c>
      <c r="B121" s="137" t="str">
        <f>C121</f>
        <v>Wat 04</v>
      </c>
      <c r="C121" s="847" t="s">
        <v>174</v>
      </c>
      <c r="D121" s="845" t="s">
        <v>157</v>
      </c>
      <c r="E121" s="947">
        <f>SUM(E122)</f>
        <v>1</v>
      </c>
      <c r="F121" s="947">
        <f t="shared" ref="F121:Q121" si="281">SUM(F122)</f>
        <v>1</v>
      </c>
      <c r="G121" s="947">
        <f t="shared" si="281"/>
        <v>1</v>
      </c>
      <c r="H121" s="947">
        <f t="shared" si="281"/>
        <v>1</v>
      </c>
      <c r="I121" s="947">
        <f t="shared" si="281"/>
        <v>1</v>
      </c>
      <c r="J121" s="947">
        <f t="shared" si="281"/>
        <v>1</v>
      </c>
      <c r="K121" s="947">
        <f t="shared" si="281"/>
        <v>1</v>
      </c>
      <c r="L121" s="947">
        <f t="shared" si="281"/>
        <v>1</v>
      </c>
      <c r="M121" s="947">
        <f t="shared" si="281"/>
        <v>1</v>
      </c>
      <c r="N121" s="947">
        <f t="shared" si="281"/>
        <v>1</v>
      </c>
      <c r="O121" s="947">
        <f t="shared" si="281"/>
        <v>1</v>
      </c>
      <c r="P121" s="947">
        <f t="shared" si="281"/>
        <v>1</v>
      </c>
      <c r="Q121" s="947">
        <f t="shared" si="281"/>
        <v>1</v>
      </c>
      <c r="S121" s="977">
        <f t="shared" si="246"/>
        <v>1</v>
      </c>
      <c r="T121" s="222">
        <f>T122</f>
        <v>0</v>
      </c>
      <c r="U121" s="230"/>
      <c r="V121" s="230"/>
      <c r="W121" s="230">
        <f>'Manuell filtrering og justering'!E55</f>
        <v>0</v>
      </c>
      <c r="X121" s="230"/>
      <c r="Y121" s="972">
        <f t="shared" ref="Y121" si="282">SUM(Y122)</f>
        <v>1</v>
      </c>
      <c r="Z121" s="977">
        <f t="shared" si="248"/>
        <v>0</v>
      </c>
      <c r="AA121" s="934">
        <f>AA122</f>
        <v>1</v>
      </c>
      <c r="AC121" s="171">
        <f t="shared" si="249"/>
        <v>4.4444444444444444E-3</v>
      </c>
      <c r="AD121" s="935">
        <f>SUM(AD122)</f>
        <v>0</v>
      </c>
      <c r="AE121" s="935">
        <f t="shared" ref="AE121:AF121" si="283">SUM(AE122)</f>
        <v>0</v>
      </c>
      <c r="AF121" s="935">
        <f t="shared" si="283"/>
        <v>0</v>
      </c>
      <c r="AH121" s="972">
        <f t="shared" ref="AH121" si="284">SUM(AH122)</f>
        <v>0</v>
      </c>
      <c r="AI121" s="972">
        <f t="shared" ref="AI121" si="285">SUM(AI122)</f>
        <v>0</v>
      </c>
      <c r="AJ121" s="972">
        <f t="shared" ref="AJ121" si="286">SUM(AJ122)</f>
        <v>0</v>
      </c>
      <c r="AL121" s="295"/>
      <c r="AM121" s="296"/>
      <c r="AN121" s="296"/>
      <c r="AO121" s="296"/>
      <c r="AP121" s="297"/>
      <c r="AQ121" s="139"/>
      <c r="AR121" s="295"/>
      <c r="AS121" s="296"/>
      <c r="AT121" s="296"/>
      <c r="AU121" s="296"/>
      <c r="AV121" s="297"/>
      <c r="AX121" s="194"/>
      <c r="AY121" s="196"/>
      <c r="AZ121" s="196"/>
      <c r="BA121" s="196"/>
      <c r="BB121" s="197"/>
      <c r="BC121" s="198">
        <f t="shared" si="59"/>
        <v>9</v>
      </c>
      <c r="BD121" s="164" t="str">
        <f t="shared" si="254"/>
        <v>N/A</v>
      </c>
      <c r="BE121" s="200"/>
      <c r="BF121" s="198">
        <f>IF(BB121=0,9,IF(AI121&gt;=BB121,5,IF(AI121&gt;=BA121,4,IF(AI121&gt;=AZ121,3,IF(AI121&gt;=AY121,2,IF(AI121&lt;AX121,0,1))))))</f>
        <v>9</v>
      </c>
      <c r="BG121" s="164" t="str">
        <f t="shared" si="255"/>
        <v>N/A</v>
      </c>
      <c r="BH121" s="200"/>
      <c r="BI121" s="198">
        <f t="shared" si="27"/>
        <v>9</v>
      </c>
      <c r="BJ121" s="164" t="str">
        <f t="shared" si="256"/>
        <v>N/A</v>
      </c>
      <c r="BK121" s="200"/>
      <c r="BN121" s="167"/>
      <c r="BO121" s="167"/>
      <c r="BP121" s="167" t="str">
        <f t="shared" si="156"/>
        <v/>
      </c>
      <c r="BQ121" s="167">
        <f t="shared" si="196"/>
        <v>9</v>
      </c>
      <c r="BR121" s="167">
        <f t="shared" si="197"/>
        <v>9</v>
      </c>
      <c r="BS121" s="167">
        <f t="shared" si="198"/>
        <v>9</v>
      </c>
      <c r="BV121" s="167" t="str">
        <f>C121</f>
        <v>Wat 04</v>
      </c>
      <c r="BW121" s="167" t="str">
        <f>IFERROR(VLOOKUP($D121,'Pre-Assessment Estimator'!$E$11:$AB$224,'Pre-Assessment Estimator'!AB$2,FALSE),"")</f>
        <v>N/A</v>
      </c>
      <c r="BX121" s="167">
        <f>IFERROR(VLOOKUP($D121,'Pre-Assessment Estimator'!$E$11:$AI$224,'Pre-Assessment Estimator'!AI$2,FALSE),"")</f>
        <v>0</v>
      </c>
      <c r="BY121" s="167">
        <f>IFERROR(VLOOKUP($BW121,$D$291:$G$324,E$289,FALSE),"")</f>
        <v>1</v>
      </c>
      <c r="BZ121" s="167">
        <f>IFERROR(VLOOKUP($BW121,$D$291:$G$324,F$289,FALSE),"")</f>
        <v>0</v>
      </c>
      <c r="CA121" s="167"/>
      <c r="CB121" s="96" t="str">
        <f>IFERROR(VLOOKUP($BW121,$D$291:$G$324,H$289,FALSE),"")</f>
        <v/>
      </c>
    </row>
    <row r="122" spans="1:84" ht="15.75" thickBot="1" x14ac:dyDescent="0.3">
      <c r="A122" s="96">
        <v>114</v>
      </c>
      <c r="B122" s="96" t="str">
        <f>$C$121&amp;C122</f>
        <v>Wat 04a</v>
      </c>
      <c r="C122" s="231" t="s">
        <v>696</v>
      </c>
      <c r="D122" s="1138" t="s">
        <v>370</v>
      </c>
      <c r="E122" s="957">
        <v>1</v>
      </c>
      <c r="F122" s="957">
        <v>1</v>
      </c>
      <c r="G122" s="957">
        <v>1</v>
      </c>
      <c r="H122" s="957">
        <v>1</v>
      </c>
      <c r="I122" s="957">
        <v>1</v>
      </c>
      <c r="J122" s="957">
        <v>1</v>
      </c>
      <c r="K122" s="957">
        <v>1</v>
      </c>
      <c r="L122" s="957">
        <v>1</v>
      </c>
      <c r="M122" s="957">
        <v>1</v>
      </c>
      <c r="N122" s="957">
        <v>1</v>
      </c>
      <c r="O122" s="957">
        <v>1</v>
      </c>
      <c r="P122" s="957">
        <v>1</v>
      </c>
      <c r="Q122" s="957">
        <v>1</v>
      </c>
      <c r="S122" s="221">
        <f t="shared" si="246"/>
        <v>1</v>
      </c>
      <c r="T122" s="192">
        <f>IF('Assessment Details'!F23=AD_no,Poeng!S122,0)</f>
        <v>0</v>
      </c>
      <c r="U122" s="193"/>
      <c r="V122" s="193"/>
      <c r="W122" s="193"/>
      <c r="X122" s="1181"/>
      <c r="Y122" s="168">
        <f>VLOOKUP(B122,'Manuell filtrering og justering'!$A$7:$H$253,'Manuell filtrering og justering'!$H$1,FALSE)</f>
        <v>1</v>
      </c>
      <c r="Z122" s="169">
        <f t="shared" si="248"/>
        <v>0</v>
      </c>
      <c r="AA122" s="170">
        <f>IF($AB$5='Manuell filtrering og justering'!$J$2,Y122,(S122-Z122))</f>
        <v>1</v>
      </c>
      <c r="AC122" s="171">
        <f t="shared" si="249"/>
        <v>4.4444444444444444E-3</v>
      </c>
      <c r="AD122" s="171">
        <f t="shared" si="258"/>
        <v>0</v>
      </c>
      <c r="AE122" s="171">
        <f t="shared" si="259"/>
        <v>0</v>
      </c>
      <c r="AF122" s="171">
        <f t="shared" si="260"/>
        <v>0</v>
      </c>
      <c r="AH122" s="172">
        <f>IF(VLOOKUP(D122,'Pre-Assessment Estimator'!$E$11:$Z$224,'Pre-Assessment Estimator'!$G$2,FALSE)&gt;AA122,AA122,VLOOKUP(D122,'Pre-Assessment Estimator'!$E$11:$Z$224,'Pre-Assessment Estimator'!$G$2,FALSE))</f>
        <v>0</v>
      </c>
      <c r="AI122" s="172">
        <f>IF(VLOOKUP(D122,'Pre-Assessment Estimator'!$E$11:$Z$224,'Pre-Assessment Estimator'!$N$2,FALSE)&gt;AA122,AA122,VLOOKUP(D122,'Pre-Assessment Estimator'!$E$11:$Z$224,'Pre-Assessment Estimator'!$N$2,FALSE))</f>
        <v>0</v>
      </c>
      <c r="AJ122" s="172">
        <f>IF(VLOOKUP(D122,'Pre-Assessment Estimator'!$E$11:$Z$224,'Pre-Assessment Estimator'!$U$2,FALSE)&gt;AA122,AA122,VLOOKUP(D122,'Pre-Assessment Estimator'!$E$11:$Z$224,'Pre-Assessment Estimator'!$U$2,FALSE))</f>
        <v>0</v>
      </c>
      <c r="AL122" s="295"/>
      <c r="AM122" s="296"/>
      <c r="AN122" s="296"/>
      <c r="AO122" s="296"/>
      <c r="AP122" s="297"/>
      <c r="AQ122" s="139"/>
      <c r="AR122" s="295"/>
      <c r="AS122" s="296"/>
      <c r="AT122" s="296"/>
      <c r="AU122" s="296"/>
      <c r="AV122" s="297"/>
      <c r="AX122" s="194"/>
      <c r="AY122" s="196"/>
      <c r="AZ122" s="196"/>
      <c r="BA122" s="196"/>
      <c r="BB122" s="197"/>
      <c r="BC122" s="198">
        <f t="shared" ref="BC122" si="287">IF(BB122=0,9,IF(AH122&gt;=BB122,5,IF(AH122&gt;=BA122,4,IF(AH122&gt;=AZ122,3,IF(AH122&gt;=AY122,2,IF(AH122&lt;AX122,0,1))))))</f>
        <v>9</v>
      </c>
      <c r="BD122" s="164" t="str">
        <f t="shared" si="254"/>
        <v>N/A</v>
      </c>
      <c r="BE122" s="200"/>
      <c r="BF122" s="198">
        <f>IF(BB122=0,9,IF(AI122&gt;=BB122,5,IF(AI122&gt;=BA122,4,IF(AI122&gt;=AZ122,3,IF(AI122&gt;=AY122,2,IF(AI122&lt;AX122,0,1))))))</f>
        <v>9</v>
      </c>
      <c r="BG122" s="164" t="str">
        <f t="shared" si="255"/>
        <v>N/A</v>
      </c>
      <c r="BH122" s="200"/>
      <c r="BI122" s="198">
        <f t="shared" ref="BI122" si="288">IF(BB122=0,9,IF(AJ122&gt;=BB122,5,IF(AJ122&gt;=BA122,4,IF(AJ122&gt;=AZ122,3,IF(AJ122&gt;=AY122,2,IF(AJ122&lt;AX122,0,1))))))</f>
        <v>9</v>
      </c>
      <c r="BJ122" s="164" t="str">
        <f t="shared" si="256"/>
        <v>N/A</v>
      </c>
      <c r="BK122" s="200"/>
      <c r="BN122" s="167"/>
      <c r="BO122" s="167"/>
      <c r="BP122" s="167" t="str">
        <f t="shared" si="156"/>
        <v/>
      </c>
      <c r="BQ122" s="167">
        <f t="shared" si="196"/>
        <v>9</v>
      </c>
      <c r="BR122" s="167">
        <f t="shared" si="197"/>
        <v>9</v>
      </c>
      <c r="BS122" s="167">
        <f t="shared" si="198"/>
        <v>9</v>
      </c>
      <c r="BV122" s="314"/>
      <c r="BW122" s="314"/>
      <c r="BX122" s="314"/>
      <c r="BY122" s="314"/>
      <c r="BZ122" s="314"/>
      <c r="CA122" s="314"/>
    </row>
    <row r="123" spans="1:84" ht="15.75" thickBot="1" x14ac:dyDescent="0.3">
      <c r="A123" s="96">
        <v>115</v>
      </c>
      <c r="B123" s="96" t="s">
        <v>890</v>
      </c>
      <c r="C123" s="201"/>
      <c r="D123" s="202" t="s">
        <v>216</v>
      </c>
      <c r="E123" s="786">
        <f>E113+E115+E117+E121</f>
        <v>9</v>
      </c>
      <c r="F123" s="786">
        <f t="shared" ref="F123:Q123" si="289">F113+F115+F117+F121</f>
        <v>9</v>
      </c>
      <c r="G123" s="786">
        <f t="shared" si="289"/>
        <v>9</v>
      </c>
      <c r="H123" s="786">
        <f t="shared" si="289"/>
        <v>9</v>
      </c>
      <c r="I123" s="786">
        <f t="shared" si="289"/>
        <v>9</v>
      </c>
      <c r="J123" s="786">
        <f t="shared" si="289"/>
        <v>9</v>
      </c>
      <c r="K123" s="786">
        <f t="shared" si="289"/>
        <v>9</v>
      </c>
      <c r="L123" s="786">
        <f t="shared" si="289"/>
        <v>9</v>
      </c>
      <c r="M123" s="786">
        <f t="shared" si="289"/>
        <v>9</v>
      </c>
      <c r="N123" s="786">
        <f t="shared" si="289"/>
        <v>9</v>
      </c>
      <c r="O123" s="786">
        <f t="shared" si="289"/>
        <v>9</v>
      </c>
      <c r="P123" s="786">
        <f t="shared" ref="P123" si="290">P113+P115+P117+P121</f>
        <v>9</v>
      </c>
      <c r="Q123" s="786">
        <f t="shared" si="289"/>
        <v>9</v>
      </c>
      <c r="S123" s="226">
        <f t="shared" si="246"/>
        <v>9</v>
      </c>
      <c r="T123" s="204"/>
      <c r="U123" s="205"/>
      <c r="V123" s="205"/>
      <c r="W123" s="205"/>
      <c r="X123" s="206"/>
      <c r="Y123" s="206"/>
      <c r="Z123" s="786">
        <f t="shared" ref="Z123:AF123" si="291">Z113+Z115+Z117+Z121</f>
        <v>0</v>
      </c>
      <c r="AA123" s="786">
        <f t="shared" si="291"/>
        <v>9</v>
      </c>
      <c r="AC123" s="208">
        <f t="shared" si="291"/>
        <v>0.04</v>
      </c>
      <c r="AD123" s="208">
        <f t="shared" si="291"/>
        <v>0</v>
      </c>
      <c r="AE123" s="208">
        <f t="shared" si="291"/>
        <v>0</v>
      </c>
      <c r="AF123" s="208">
        <f t="shared" si="291"/>
        <v>0</v>
      </c>
      <c r="AH123" s="78">
        <f t="shared" ref="AH123:AJ123" si="292">AH113+AH115+AH117+AH121</f>
        <v>0</v>
      </c>
      <c r="AI123" s="78">
        <f t="shared" si="292"/>
        <v>0</v>
      </c>
      <c r="AJ123" s="78">
        <f t="shared" si="292"/>
        <v>0</v>
      </c>
      <c r="AL123" s="139"/>
      <c r="AM123" s="139"/>
      <c r="AN123" s="139"/>
      <c r="AO123" s="139"/>
      <c r="AP123" s="139"/>
      <c r="AQ123" s="139"/>
      <c r="AR123" s="139"/>
      <c r="AS123" s="139"/>
      <c r="AT123" s="139"/>
      <c r="AU123" s="139"/>
      <c r="AV123" s="139"/>
      <c r="AX123" s="97"/>
      <c r="AY123" s="209"/>
      <c r="AZ123" s="97"/>
      <c r="BA123" s="97"/>
      <c r="BB123" s="97"/>
      <c r="BV123" s="202"/>
      <c r="BW123" s="202" t="str">
        <f>IFERROR(VLOOKUP($D123,'Pre-Assessment Estimator'!$E$11:$AB$224,'Pre-Assessment Estimator'!AB$2,FALSE),"")</f>
        <v/>
      </c>
      <c r="BX123" s="202" t="str">
        <f>IFERROR(VLOOKUP($D123,'Pre-Assessment Estimator'!$E$11:$AI$224,'Pre-Assessment Estimator'!AI$2,FALSE),"")</f>
        <v/>
      </c>
      <c r="BY123" s="202" t="str">
        <f t="shared" ref="BY123:BZ126" si="293">IFERROR(VLOOKUP($BW123,$D$291:$G$324,E$289,FALSE),"")</f>
        <v/>
      </c>
      <c r="BZ123" s="202" t="str">
        <f t="shared" si="293"/>
        <v/>
      </c>
      <c r="CA123" s="202"/>
      <c r="CB123" s="96" t="str">
        <f>IFERROR(VLOOKUP($BW123,$D$291:$G$324,H$289,FALSE),"")</f>
        <v/>
      </c>
    </row>
    <row r="124" spans="1:84" ht="15.75" thickBot="1" x14ac:dyDescent="0.3">
      <c r="A124" s="96">
        <v>116</v>
      </c>
      <c r="AH124" s="1"/>
      <c r="AI124" s="1"/>
      <c r="AJ124" s="1"/>
      <c r="AL124" s="139"/>
      <c r="AM124" s="139"/>
      <c r="AN124" s="139"/>
      <c r="AO124" s="139"/>
      <c r="AP124" s="139"/>
      <c r="AQ124" s="139"/>
      <c r="AR124" s="139"/>
      <c r="AS124" s="139"/>
      <c r="AT124" s="139"/>
      <c r="AU124" s="139"/>
      <c r="AV124" s="139"/>
      <c r="AX124" s="97"/>
      <c r="AY124" s="97"/>
      <c r="AZ124" s="97"/>
      <c r="BA124" s="97"/>
      <c r="BB124" s="97"/>
      <c r="BW124" s="96" t="str">
        <f>IFERROR(VLOOKUP($D124,'Pre-Assessment Estimator'!$E$11:$AB$224,'Pre-Assessment Estimator'!AB$2,FALSE),"")</f>
        <v/>
      </c>
      <c r="BX124" s="96" t="str">
        <f>IFERROR(VLOOKUP($D124,'Pre-Assessment Estimator'!$E$11:$AI$224,'Pre-Assessment Estimator'!AI$2,FALSE),"")</f>
        <v/>
      </c>
      <c r="BY124" s="96" t="str">
        <f t="shared" si="293"/>
        <v/>
      </c>
      <c r="BZ124" s="96" t="str">
        <f t="shared" si="293"/>
        <v/>
      </c>
      <c r="CB124" s="96" t="str">
        <f>IFERROR(VLOOKUP($BW124,$D$291:$G$324,H$289,FALSE),"")</f>
        <v/>
      </c>
    </row>
    <row r="125" spans="1:84" ht="60.75" thickBot="1" x14ac:dyDescent="0.3">
      <c r="A125" s="96">
        <v>117</v>
      </c>
      <c r="C125" s="151"/>
      <c r="D125" s="152" t="s">
        <v>70</v>
      </c>
      <c r="E125" s="870" t="str">
        <f>$E$9</f>
        <v>Office</v>
      </c>
      <c r="F125" s="870" t="str">
        <f>$F$9</f>
        <v>Retail</v>
      </c>
      <c r="G125" s="870" t="str">
        <f>$G$9</f>
        <v>Residential</v>
      </c>
      <c r="H125" s="870" t="str">
        <f>$H$9</f>
        <v>Industrial</v>
      </c>
      <c r="I125" s="870" t="str">
        <f>$I$9</f>
        <v>Healthcare</v>
      </c>
      <c r="J125" s="870" t="str">
        <f>$J$9</f>
        <v>Prison</v>
      </c>
      <c r="K125" s="870" t="str">
        <f>$K$9</f>
        <v>Law Court</v>
      </c>
      <c r="L125" s="870" t="str">
        <f>$L$9</f>
        <v>Residential institution (long term stay)</v>
      </c>
      <c r="M125" s="870" t="str">
        <f>$M$9</f>
        <v>Residential institution (short term stay)</v>
      </c>
      <c r="N125" s="870" t="str">
        <f>$N$9</f>
        <v>Non-residential institution</v>
      </c>
      <c r="O125" s="870" t="str">
        <f>$O$9</f>
        <v>Assembly and leisure</v>
      </c>
      <c r="P125" s="779" t="str">
        <f>$P$9</f>
        <v>Education</v>
      </c>
      <c r="Q125" s="871" t="str">
        <f>$Q$9</f>
        <v>Other</v>
      </c>
      <c r="S125" s="138" t="str">
        <f>$D$6</f>
        <v>Office</v>
      </c>
      <c r="T125" s="210"/>
      <c r="U125" s="211"/>
      <c r="V125" s="211"/>
      <c r="W125" s="211"/>
      <c r="X125" s="1182" t="s">
        <v>414</v>
      </c>
      <c r="Y125" s="347" t="s">
        <v>337</v>
      </c>
      <c r="Z125" s="150" t="s">
        <v>216</v>
      </c>
      <c r="AA125" s="59" t="s">
        <v>16</v>
      </c>
      <c r="AH125" s="42"/>
      <c r="AI125" s="60"/>
      <c r="AJ125" s="60"/>
      <c r="AL125" s="139"/>
      <c r="AM125" s="139"/>
      <c r="AN125" s="139"/>
      <c r="AO125" s="139"/>
      <c r="AP125" s="139"/>
      <c r="AQ125" s="139"/>
      <c r="AR125" s="139"/>
      <c r="AS125" s="139"/>
      <c r="AT125" s="139"/>
      <c r="AU125" s="139"/>
      <c r="AV125" s="139"/>
      <c r="AX125" s="97"/>
      <c r="AY125" s="97"/>
      <c r="AZ125" s="97"/>
      <c r="BA125" s="97"/>
      <c r="BB125" s="97"/>
      <c r="BN125" s="60"/>
      <c r="BO125" s="60"/>
      <c r="BP125" s="60"/>
      <c r="BQ125" s="60"/>
      <c r="BR125" s="60"/>
      <c r="BS125" s="60"/>
      <c r="BV125" s="146"/>
      <c r="BW125" s="146" t="str">
        <f>D125</f>
        <v>Materials</v>
      </c>
      <c r="BX125" s="146">
        <f>IFERROR(VLOOKUP($D125,'Pre-Assessment Estimator'!$E$11:$AI$224,'Pre-Assessment Estimator'!AI$2,FALSE),"")</f>
        <v>0</v>
      </c>
      <c r="BY125" s="146" t="str">
        <f t="shared" si="293"/>
        <v/>
      </c>
      <c r="BZ125" s="146" t="str">
        <f t="shared" si="293"/>
        <v/>
      </c>
      <c r="CA125" s="146"/>
      <c r="CB125" s="96" t="str">
        <f>IFERROR(VLOOKUP($BW125,$D$291:$G$324,H$289,FALSE),"")</f>
        <v/>
      </c>
    </row>
    <row r="126" spans="1:84" x14ac:dyDescent="0.25">
      <c r="A126" s="96">
        <v>118</v>
      </c>
      <c r="B126" s="137" t="str">
        <f>C126</f>
        <v>Mat 01</v>
      </c>
      <c r="C126" s="872" t="s">
        <v>175</v>
      </c>
      <c r="D126" s="873" t="s">
        <v>465</v>
      </c>
      <c r="E126" s="947">
        <f>SUM(E127:E129)</f>
        <v>5</v>
      </c>
      <c r="F126" s="947">
        <f t="shared" ref="F126:Q126" si="294">SUM(F127:F129)</f>
        <v>5</v>
      </c>
      <c r="G126" s="947">
        <f t="shared" si="294"/>
        <v>5</v>
      </c>
      <c r="H126" s="947">
        <f t="shared" si="294"/>
        <v>5</v>
      </c>
      <c r="I126" s="947">
        <f t="shared" si="294"/>
        <v>5</v>
      </c>
      <c r="J126" s="947">
        <f t="shared" si="294"/>
        <v>5</v>
      </c>
      <c r="K126" s="947">
        <f t="shared" si="294"/>
        <v>5</v>
      </c>
      <c r="L126" s="947">
        <f t="shared" si="294"/>
        <v>5</v>
      </c>
      <c r="M126" s="947">
        <f t="shared" si="294"/>
        <v>5</v>
      </c>
      <c r="N126" s="947">
        <f t="shared" si="294"/>
        <v>5</v>
      </c>
      <c r="O126" s="947">
        <f t="shared" si="294"/>
        <v>5</v>
      </c>
      <c r="P126" s="947">
        <f t="shared" ref="P126" si="295">SUM(P127:P129)</f>
        <v>5</v>
      </c>
      <c r="Q126" s="947">
        <f t="shared" si="294"/>
        <v>5</v>
      </c>
      <c r="S126" s="975">
        <f t="shared" ref="S126:S152" si="296">HLOOKUP($D$6,$E$9:$Q$231,$A126,FALSE)</f>
        <v>5</v>
      </c>
      <c r="T126" s="222"/>
      <c r="U126" s="230"/>
      <c r="V126" s="230"/>
      <c r="W126" s="230">
        <f>'Manuell filtrering og justering'!E59</f>
        <v>0</v>
      </c>
      <c r="X126" s="230"/>
      <c r="Y126" s="972">
        <f t="shared" ref="Y126" si="297">SUM(Y127:Y129)</f>
        <v>5</v>
      </c>
      <c r="Z126" s="977">
        <f t="shared" ref="Z126:Z151" si="298">IF(SUM(T126:X126)&gt;S126,S126,SUM(T126:X126))</f>
        <v>0</v>
      </c>
      <c r="AA126" s="1081">
        <f>SUM(AA127:AA129)</f>
        <v>5</v>
      </c>
      <c r="AC126" s="171">
        <f t="shared" ref="AC126:AC151" si="299">(Mat_Weight/Mat_Credits)*AA126</f>
        <v>4.0476190476190485E-2</v>
      </c>
      <c r="AD126" s="935">
        <f>SUM(AD127:AD129)</f>
        <v>0</v>
      </c>
      <c r="AE126" s="935">
        <f t="shared" ref="AE126" si="300">SUM(AE127:AE129)</f>
        <v>0</v>
      </c>
      <c r="AF126" s="935">
        <f t="shared" ref="AF126" si="301">SUM(AF127:AF129)</f>
        <v>0</v>
      </c>
      <c r="AH126" s="972">
        <f t="shared" ref="AH126" si="302">SUM(AH127:AH129)</f>
        <v>0</v>
      </c>
      <c r="AI126" s="972">
        <f t="shared" ref="AI126" si="303">SUM(AI127:AI129)</f>
        <v>0</v>
      </c>
      <c r="AJ126" s="972">
        <f t="shared" ref="AJ126" si="304">SUM(AJ127:AJ129)</f>
        <v>0</v>
      </c>
      <c r="AL126" s="298"/>
      <c r="AM126" s="299"/>
      <c r="AN126" s="299"/>
      <c r="AO126" s="299"/>
      <c r="AP126" s="300"/>
      <c r="AQ126" s="139"/>
      <c r="AR126" s="298"/>
      <c r="AS126" s="299"/>
      <c r="AT126" s="299"/>
      <c r="AU126" s="299"/>
      <c r="AV126" s="300"/>
      <c r="AX126" s="218"/>
      <c r="AY126" s="219"/>
      <c r="AZ126" s="219"/>
      <c r="BA126" s="219"/>
      <c r="BB126" s="727"/>
      <c r="BC126" s="174">
        <f t="shared" ref="BC126:BC129" si="305">IF(BB126=0,9,IF(AH126&gt;=BB126,5,IF(AH126&gt;=BA126,4,IF(AH126&gt;=AZ126,3,IF(AH126&gt;=AY126,2,IF(AH126&lt;AX126,0,1))))))</f>
        <v>9</v>
      </c>
      <c r="BD126" s="164" t="str">
        <f t="shared" ref="BD126:BD151" si="306">VLOOKUP(BC126,$BN$282:$BS$288,6,FALSE)</f>
        <v>N/A</v>
      </c>
      <c r="BE126" s="178"/>
      <c r="BF126" s="174">
        <f t="shared" ref="BF126:BF133" si="307">IF(BB126=0,9,IF(AI126&gt;=BB126,5,IF(AI126&gt;=BA126,4,IF(AI126&gt;=AZ126,3,IF(AI126&gt;=AY126,2,IF(AI126&lt;AX126,0,1))))))</f>
        <v>9</v>
      </c>
      <c r="BG126" s="164" t="str">
        <f t="shared" ref="BG126:BG151" si="308">VLOOKUP(BF126,$BN$282:$BS$288,6,FALSE)</f>
        <v>N/A</v>
      </c>
      <c r="BH126" s="178"/>
      <c r="BI126" s="174">
        <f t="shared" si="27"/>
        <v>9</v>
      </c>
      <c r="BJ126" s="164" t="str">
        <f t="shared" ref="BJ126:BJ151" si="309">VLOOKUP(BI126,$BN$282:$BS$288,6,FALSE)</f>
        <v>N/A</v>
      </c>
      <c r="BK126" s="178"/>
      <c r="BN126" s="167"/>
      <c r="BO126" s="167"/>
      <c r="BP126" s="167" t="str">
        <f t="shared" si="156"/>
        <v/>
      </c>
      <c r="BQ126" s="167">
        <f t="shared" si="196"/>
        <v>9</v>
      </c>
      <c r="BR126" s="167">
        <f t="shared" si="197"/>
        <v>9</v>
      </c>
      <c r="BS126" s="167">
        <f t="shared" si="198"/>
        <v>9</v>
      </c>
      <c r="BV126" s="164" t="str">
        <f>C126</f>
        <v>Mat 01</v>
      </c>
      <c r="BW126" s="164" t="str">
        <f>IFERROR(VLOOKUP($D126,'Pre-Assessment Estimator'!$E$11:$AB$224,'Pre-Assessment Estimator'!AB$2,FALSE),"")</f>
        <v>N/A</v>
      </c>
      <c r="BX126" s="164">
        <f>IFERROR(VLOOKUP($D126,'Pre-Assessment Estimator'!$E$11:$AI$224,'Pre-Assessment Estimator'!AI$2,FALSE),"")</f>
        <v>0</v>
      </c>
      <c r="BY126" s="164">
        <f t="shared" si="293"/>
        <v>1</v>
      </c>
      <c r="BZ126" s="164">
        <f t="shared" si="293"/>
        <v>0</v>
      </c>
      <c r="CA126" s="164"/>
      <c r="CB126" s="96" t="s">
        <v>432</v>
      </c>
    </row>
    <row r="127" spans="1:84" x14ac:dyDescent="0.25">
      <c r="A127" s="96">
        <v>119</v>
      </c>
      <c r="B127" s="137"/>
      <c r="C127" s="166" t="s">
        <v>696</v>
      </c>
      <c r="D127" s="954" t="s">
        <v>649</v>
      </c>
      <c r="E127" s="788"/>
      <c r="F127" s="788"/>
      <c r="G127" s="788"/>
      <c r="H127" s="788"/>
      <c r="I127" s="788"/>
      <c r="J127" s="788"/>
      <c r="K127" s="788"/>
      <c r="L127" s="788"/>
      <c r="M127" s="788"/>
      <c r="N127" s="788"/>
      <c r="O127" s="788"/>
      <c r="P127" s="788"/>
      <c r="Q127" s="788"/>
      <c r="S127" s="221">
        <f t="shared" si="296"/>
        <v>0</v>
      </c>
      <c r="T127" s="166"/>
      <c r="U127" s="167"/>
      <c r="V127" s="167"/>
      <c r="W127" s="167"/>
      <c r="X127" s="168"/>
      <c r="Y127" s="168"/>
      <c r="Z127" s="169">
        <f t="shared" si="298"/>
        <v>0</v>
      </c>
      <c r="AA127" s="170">
        <f>IF($AB$5='Manuell filtrering og justering'!$J$2,Y127,(S127-Z127))</f>
        <v>0</v>
      </c>
      <c r="AC127" s="171">
        <f t="shared" si="299"/>
        <v>0</v>
      </c>
      <c r="AD127" s="171">
        <f t="shared" ref="AD127:AD151" si="310">IF(AA127=0,0,(AC127/AA127)*AH127)</f>
        <v>0</v>
      </c>
      <c r="AE127" s="171">
        <f t="shared" ref="AE127:AE151" si="311">IF(AA127=0,0,(AC127/AA127)*AI127)</f>
        <v>0</v>
      </c>
      <c r="AF127" s="171">
        <f t="shared" ref="AF127:AF151" si="312">IF(AA127=0,0,(AC127/AA127)*AJ127)</f>
        <v>0</v>
      </c>
      <c r="AH127" s="172">
        <f>IF(VLOOKUP(D127,'Pre-Assessment Estimator'!$E$11:$Z$224,'Pre-Assessment Estimator'!$G$2,FALSE)&gt;AA127,AA127,VLOOKUP(D127,'Pre-Assessment Estimator'!$E$11:$Z$224,'Pre-Assessment Estimator'!$G$2,FALSE))</f>
        <v>0</v>
      </c>
      <c r="AI127" s="172">
        <f>IF(VLOOKUP(D127,'Pre-Assessment Estimator'!$E$11:$Z$224,'Pre-Assessment Estimator'!$N$2,FALSE)&gt;AA127,AA127,VLOOKUP(D127,'Pre-Assessment Estimator'!$E$11:$Z$224,'Pre-Assessment Estimator'!$N$2,FALSE))</f>
        <v>0</v>
      </c>
      <c r="AJ127" s="172">
        <f>IF(VLOOKUP(D127,'Pre-Assessment Estimator'!$E$11:$Z$224,'Pre-Assessment Estimator'!$U$2,FALSE)&gt;AA127,AA127,VLOOKUP(D127,'Pre-Assessment Estimator'!$E$11:$Z$224,'Pre-Assessment Estimator'!$U$2,FALSE))</f>
        <v>0</v>
      </c>
      <c r="AL127" s="848"/>
      <c r="AM127" s="849"/>
      <c r="AN127" s="849"/>
      <c r="AO127" s="849"/>
      <c r="AP127" s="850"/>
      <c r="AQ127" s="139"/>
      <c r="AR127" s="848"/>
      <c r="AS127" s="849"/>
      <c r="AT127" s="849"/>
      <c r="AU127" s="849"/>
      <c r="AV127" s="850"/>
      <c r="AX127" s="719"/>
      <c r="AY127" s="720"/>
      <c r="AZ127" s="720"/>
      <c r="BA127" s="720"/>
      <c r="BB127" s="868"/>
      <c r="BC127" s="182">
        <f t="shared" si="305"/>
        <v>9</v>
      </c>
      <c r="BD127" s="164" t="str">
        <f t="shared" si="306"/>
        <v>N/A</v>
      </c>
      <c r="BE127" s="185"/>
      <c r="BF127" s="182">
        <f t="shared" ref="BF127:BF129" si="313">IF(BB127=0,9,IF(AI127&gt;=BB127,5,IF(AI127&gt;=BA127,4,IF(AI127&gt;=AZ127,3,IF(AI127&gt;=AY127,2,IF(AI127&lt;AX127,0,1))))))</f>
        <v>9</v>
      </c>
      <c r="BG127" s="164" t="str">
        <f t="shared" si="308"/>
        <v>N/A</v>
      </c>
      <c r="BH127" s="185"/>
      <c r="BI127" s="182">
        <f t="shared" si="27"/>
        <v>9</v>
      </c>
      <c r="BJ127" s="164" t="str">
        <f t="shared" si="309"/>
        <v>N/A</v>
      </c>
      <c r="BK127" s="843"/>
      <c r="BN127" s="167"/>
      <c r="BO127" s="167"/>
      <c r="BP127" s="167" t="str">
        <f t="shared" si="156"/>
        <v/>
      </c>
      <c r="BQ127" s="167">
        <f t="shared" si="196"/>
        <v>9</v>
      </c>
      <c r="BR127" s="167">
        <f t="shared" si="197"/>
        <v>9</v>
      </c>
      <c r="BS127" s="167">
        <f t="shared" si="198"/>
        <v>9</v>
      </c>
      <c r="BV127" s="164"/>
      <c r="BW127" s="164"/>
      <c r="BX127" s="164"/>
      <c r="BY127" s="164"/>
      <c r="BZ127" s="164"/>
      <c r="CA127" s="164"/>
    </row>
    <row r="128" spans="1:84" x14ac:dyDescent="0.25">
      <c r="A128" s="96">
        <v>120</v>
      </c>
      <c r="B128" s="96" t="str">
        <f t="shared" ref="B128:B129" si="314">$C$126&amp;C128</f>
        <v>Mat 01b</v>
      </c>
      <c r="C128" s="166" t="s">
        <v>699</v>
      </c>
      <c r="D128" s="1138" t="s">
        <v>650</v>
      </c>
      <c r="E128" s="788">
        <v>3</v>
      </c>
      <c r="F128" s="788">
        <v>3</v>
      </c>
      <c r="G128" s="788">
        <v>3</v>
      </c>
      <c r="H128" s="788">
        <v>3</v>
      </c>
      <c r="I128" s="788">
        <v>3</v>
      </c>
      <c r="J128" s="788">
        <v>3</v>
      </c>
      <c r="K128" s="788">
        <v>3</v>
      </c>
      <c r="L128" s="788">
        <v>3</v>
      </c>
      <c r="M128" s="788">
        <v>3</v>
      </c>
      <c r="N128" s="788">
        <v>3</v>
      </c>
      <c r="O128" s="788">
        <v>3</v>
      </c>
      <c r="P128" s="788">
        <v>3</v>
      </c>
      <c r="Q128" s="788">
        <v>3</v>
      </c>
      <c r="S128" s="221">
        <f t="shared" si="296"/>
        <v>3</v>
      </c>
      <c r="T128" s="166"/>
      <c r="U128" s="167"/>
      <c r="V128" s="167"/>
      <c r="W128" s="167"/>
      <c r="X128" s="168"/>
      <c r="Y128" s="168">
        <f>VLOOKUP(B128,'Manuell filtrering og justering'!$A$7:$H$253,'Manuell filtrering og justering'!$H$1,FALSE)</f>
        <v>3</v>
      </c>
      <c r="Z128" s="169">
        <f t="shared" si="298"/>
        <v>0</v>
      </c>
      <c r="AA128" s="170">
        <f>IF($AB$5='Manuell filtrering og justering'!$J$2,Y128,(S128-Z128))</f>
        <v>3</v>
      </c>
      <c r="AC128" s="171">
        <f t="shared" si="299"/>
        <v>2.4285714285714289E-2</v>
      </c>
      <c r="AD128" s="171">
        <f t="shared" si="310"/>
        <v>0</v>
      </c>
      <c r="AE128" s="171">
        <f t="shared" si="311"/>
        <v>0</v>
      </c>
      <c r="AF128" s="171">
        <f t="shared" si="312"/>
        <v>0</v>
      </c>
      <c r="AH128" s="172">
        <f>IF(VLOOKUP(D128,'Pre-Assessment Estimator'!$E$11:$Z$224,'Pre-Assessment Estimator'!$G$2,FALSE)&gt;AA128,AA128,VLOOKUP(D128,'Pre-Assessment Estimator'!$E$11:$Z$224,'Pre-Assessment Estimator'!$G$2,FALSE))</f>
        <v>0</v>
      </c>
      <c r="AI128" s="172">
        <f>IF(VLOOKUP(D128,'Pre-Assessment Estimator'!$E$11:$Z$224,'Pre-Assessment Estimator'!$N$2,FALSE)&gt;AA128,AA128,VLOOKUP(D128,'Pre-Assessment Estimator'!$E$11:$Z$224,'Pre-Assessment Estimator'!$N$2,FALSE))</f>
        <v>0</v>
      </c>
      <c r="AJ128" s="172">
        <f>IF(VLOOKUP(D128,'Pre-Assessment Estimator'!$E$11:$Z$224,'Pre-Assessment Estimator'!$U$2,FALSE)&gt;AA128,AA128,VLOOKUP(D128,'Pre-Assessment Estimator'!$E$11:$Z$224,'Pre-Assessment Estimator'!$U$2,FALSE))</f>
        <v>0</v>
      </c>
      <c r="AL128" s="848"/>
      <c r="AM128" s="849"/>
      <c r="AN128" s="849">
        <v>1</v>
      </c>
      <c r="AO128" s="849">
        <v>1</v>
      </c>
      <c r="AP128" s="850">
        <v>2</v>
      </c>
      <c r="AQ128" s="139"/>
      <c r="AR128" s="848"/>
      <c r="AS128" s="849"/>
      <c r="AT128" s="849">
        <v>1</v>
      </c>
      <c r="AU128" s="849">
        <v>1</v>
      </c>
      <c r="AV128" s="850">
        <v>2</v>
      </c>
      <c r="AX128" s="719"/>
      <c r="AY128" s="720"/>
      <c r="AZ128" s="183">
        <f>IF($AA128=0,0,IF($D$6=$G$9,AT128,AN128))</f>
        <v>1</v>
      </c>
      <c r="BA128" s="183">
        <f>IF($AA128=0,0,IF($D$6=$G$9,AU128,AO128))</f>
        <v>1</v>
      </c>
      <c r="BB128" s="183">
        <f>IF($AA128=0,0,IF($D$6=$G$9,AV128,AP128))</f>
        <v>2</v>
      </c>
      <c r="BC128" s="182">
        <f t="shared" si="305"/>
        <v>2</v>
      </c>
      <c r="BD128" s="164" t="str">
        <f t="shared" si="306"/>
        <v>Good</v>
      </c>
      <c r="BE128" s="185"/>
      <c r="BF128" s="182">
        <f t="shared" si="313"/>
        <v>2</v>
      </c>
      <c r="BG128" s="164" t="str">
        <f t="shared" si="308"/>
        <v>Good</v>
      </c>
      <c r="BH128" s="185"/>
      <c r="BI128" s="182">
        <f t="shared" si="27"/>
        <v>2</v>
      </c>
      <c r="BJ128" s="164" t="str">
        <f t="shared" si="309"/>
        <v>Good</v>
      </c>
      <c r="BK128" s="843"/>
      <c r="BN128" s="167"/>
      <c r="BO128" s="167">
        <v>1</v>
      </c>
      <c r="BP128" s="167">
        <f t="shared" si="156"/>
        <v>1</v>
      </c>
      <c r="BQ128" s="167">
        <f t="shared" si="196"/>
        <v>0</v>
      </c>
      <c r="BR128" s="167">
        <f t="shared" si="197"/>
        <v>0</v>
      </c>
      <c r="BS128" s="167">
        <f t="shared" si="198"/>
        <v>0</v>
      </c>
      <c r="BV128" s="164"/>
      <c r="BW128" s="164"/>
      <c r="BX128" s="164"/>
      <c r="BY128" s="164"/>
      <c r="BZ128" s="164"/>
      <c r="CA128" s="164"/>
    </row>
    <row r="129" spans="1:84" x14ac:dyDescent="0.25">
      <c r="A129" s="96">
        <v>121</v>
      </c>
      <c r="B129" s="96" t="str">
        <f t="shared" si="314"/>
        <v>Mat 01c</v>
      </c>
      <c r="C129" s="188" t="s">
        <v>700</v>
      </c>
      <c r="D129" s="1138" t="s">
        <v>651</v>
      </c>
      <c r="E129" s="788">
        <v>2</v>
      </c>
      <c r="F129" s="788">
        <v>2</v>
      </c>
      <c r="G129" s="788">
        <v>2</v>
      </c>
      <c r="H129" s="788">
        <v>2</v>
      </c>
      <c r="I129" s="788">
        <v>2</v>
      </c>
      <c r="J129" s="788">
        <v>2</v>
      </c>
      <c r="K129" s="788">
        <v>2</v>
      </c>
      <c r="L129" s="788">
        <v>2</v>
      </c>
      <c r="M129" s="788">
        <v>2</v>
      </c>
      <c r="N129" s="788">
        <v>2</v>
      </c>
      <c r="O129" s="788">
        <v>2</v>
      </c>
      <c r="P129" s="788">
        <v>2</v>
      </c>
      <c r="Q129" s="788">
        <v>2</v>
      </c>
      <c r="S129" s="221">
        <f t="shared" si="296"/>
        <v>2</v>
      </c>
      <c r="T129" s="166"/>
      <c r="U129" s="167"/>
      <c r="V129" s="167"/>
      <c r="W129" s="167"/>
      <c r="X129" s="168"/>
      <c r="Y129" s="168">
        <f>VLOOKUP(B129,'Manuell filtrering og justering'!$A$7:$H$253,'Manuell filtrering og justering'!$H$1,FALSE)</f>
        <v>2</v>
      </c>
      <c r="Z129" s="169">
        <f t="shared" si="298"/>
        <v>0</v>
      </c>
      <c r="AA129" s="170">
        <f>IF($AB$5='Manuell filtrering og justering'!$J$2,Y129,(S129-Z129))</f>
        <v>2</v>
      </c>
      <c r="AC129" s="171">
        <f t="shared" si="299"/>
        <v>1.6190476190476193E-2</v>
      </c>
      <c r="AD129" s="171">
        <f t="shared" si="310"/>
        <v>0</v>
      </c>
      <c r="AE129" s="171">
        <f t="shared" si="311"/>
        <v>0</v>
      </c>
      <c r="AF129" s="171">
        <f t="shared" si="312"/>
        <v>0</v>
      </c>
      <c r="AH129" s="172">
        <f>IF(VLOOKUP(D129,'Pre-Assessment Estimator'!$E$11:$Z$224,'Pre-Assessment Estimator'!$G$2,FALSE)&gt;AA129,AA129,VLOOKUP(D129,'Pre-Assessment Estimator'!$E$11:$Z$224,'Pre-Assessment Estimator'!$G$2,FALSE))</f>
        <v>0</v>
      </c>
      <c r="AI129" s="172">
        <f>IF(VLOOKUP(D129,'Pre-Assessment Estimator'!$E$11:$Z$224,'Pre-Assessment Estimator'!$N$2,FALSE)&gt;AA129,AA129,VLOOKUP(D129,'Pre-Assessment Estimator'!$E$11:$Z$224,'Pre-Assessment Estimator'!$N$2,FALSE))</f>
        <v>0</v>
      </c>
      <c r="AJ129" s="172">
        <f>IF(VLOOKUP(D129,'Pre-Assessment Estimator'!$E$11:$Z$224,'Pre-Assessment Estimator'!$U$2,FALSE)&gt;AA129,AA129,VLOOKUP(D129,'Pre-Assessment Estimator'!$E$11:$Z$224,'Pre-Assessment Estimator'!$U$2,FALSE))</f>
        <v>0</v>
      </c>
      <c r="AL129" s="848"/>
      <c r="AM129" s="849"/>
      <c r="AN129" s="849"/>
      <c r="AO129" s="849"/>
      <c r="AP129" s="850"/>
      <c r="AQ129" s="139"/>
      <c r="AR129" s="848"/>
      <c r="AS129" s="849"/>
      <c r="AT129" s="849"/>
      <c r="AU129" s="849"/>
      <c r="AV129" s="850"/>
      <c r="AX129" s="719"/>
      <c r="AY129" s="720"/>
      <c r="AZ129" s="720"/>
      <c r="BA129" s="720"/>
      <c r="BB129" s="868"/>
      <c r="BC129" s="182">
        <f t="shared" si="305"/>
        <v>9</v>
      </c>
      <c r="BD129" s="164" t="str">
        <f t="shared" si="306"/>
        <v>N/A</v>
      </c>
      <c r="BE129" s="185"/>
      <c r="BF129" s="182">
        <f t="shared" si="313"/>
        <v>9</v>
      </c>
      <c r="BG129" s="164" t="str">
        <f t="shared" si="308"/>
        <v>N/A</v>
      </c>
      <c r="BH129" s="185"/>
      <c r="BI129" s="182">
        <f t="shared" si="27"/>
        <v>9</v>
      </c>
      <c r="BJ129" s="164" t="str">
        <f t="shared" si="309"/>
        <v>N/A</v>
      </c>
      <c r="BK129" s="843"/>
      <c r="BN129" s="167"/>
      <c r="BO129" s="167">
        <v>1</v>
      </c>
      <c r="BP129" s="167">
        <f t="shared" si="156"/>
        <v>1</v>
      </c>
      <c r="BQ129" s="167">
        <f t="shared" si="196"/>
        <v>0</v>
      </c>
      <c r="BR129" s="167">
        <f t="shared" si="197"/>
        <v>0</v>
      </c>
      <c r="BS129" s="167">
        <f t="shared" si="198"/>
        <v>0</v>
      </c>
      <c r="BV129" s="164"/>
      <c r="BW129" s="164"/>
      <c r="BX129" s="164"/>
      <c r="BY129" s="164"/>
      <c r="BZ129" s="164"/>
      <c r="CA129" s="164"/>
    </row>
    <row r="130" spans="1:84" x14ac:dyDescent="0.25">
      <c r="A130" s="96">
        <v>122</v>
      </c>
      <c r="B130" s="137" t="str">
        <f>C130</f>
        <v>Mat 02</v>
      </c>
      <c r="C130" s="960" t="s">
        <v>480</v>
      </c>
      <c r="D130" s="845" t="s">
        <v>962</v>
      </c>
      <c r="E130" s="947">
        <f>SUM(E131:E133)</f>
        <v>3</v>
      </c>
      <c r="F130" s="947">
        <f t="shared" ref="F130:Q130" si="315">SUM(F131:F133)</f>
        <v>3</v>
      </c>
      <c r="G130" s="947">
        <f t="shared" si="315"/>
        <v>3</v>
      </c>
      <c r="H130" s="947">
        <f t="shared" si="315"/>
        <v>3</v>
      </c>
      <c r="I130" s="947">
        <f t="shared" si="315"/>
        <v>3</v>
      </c>
      <c r="J130" s="947">
        <f t="shared" si="315"/>
        <v>3</v>
      </c>
      <c r="K130" s="947">
        <f t="shared" si="315"/>
        <v>3</v>
      </c>
      <c r="L130" s="947">
        <f t="shared" si="315"/>
        <v>3</v>
      </c>
      <c r="M130" s="947">
        <f t="shared" si="315"/>
        <v>3</v>
      </c>
      <c r="N130" s="947">
        <f t="shared" si="315"/>
        <v>3</v>
      </c>
      <c r="O130" s="947">
        <f t="shared" si="315"/>
        <v>3</v>
      </c>
      <c r="P130" s="947">
        <f t="shared" ref="P130" si="316">SUM(P131:P133)</f>
        <v>3</v>
      </c>
      <c r="Q130" s="947">
        <f t="shared" si="315"/>
        <v>3</v>
      </c>
      <c r="S130" s="977">
        <f t="shared" si="296"/>
        <v>3</v>
      </c>
      <c r="T130" s="222"/>
      <c r="U130" s="230"/>
      <c r="V130" s="230"/>
      <c r="W130" s="230">
        <f>'Manuell filtrering og justering'!E60</f>
        <v>0</v>
      </c>
      <c r="X130" s="230"/>
      <c r="Y130" s="972">
        <f t="shared" ref="Y130" si="317">SUM(Y131:Y133)</f>
        <v>2</v>
      </c>
      <c r="Z130" s="977">
        <f t="shared" si="298"/>
        <v>0</v>
      </c>
      <c r="AA130" s="1081">
        <f>SUM(AA131:AA133)</f>
        <v>3</v>
      </c>
      <c r="AC130" s="171">
        <f t="shared" si="299"/>
        <v>2.4285714285714289E-2</v>
      </c>
      <c r="AD130" s="935">
        <f>SUM(AD131:AD133)</f>
        <v>0</v>
      </c>
      <c r="AE130" s="935">
        <f t="shared" ref="AE130" si="318">SUM(AE131:AE133)</f>
        <v>0</v>
      </c>
      <c r="AF130" s="935">
        <f t="shared" ref="AF130" si="319">SUM(AF131:AF133)</f>
        <v>0</v>
      </c>
      <c r="AH130" s="972">
        <f t="shared" ref="AH130" si="320">SUM(AH131:AH133)</f>
        <v>0</v>
      </c>
      <c r="AI130" s="972">
        <f t="shared" ref="AI130" si="321">SUM(AI131:AI133)</f>
        <v>0</v>
      </c>
      <c r="AJ130" s="972">
        <f t="shared" ref="AJ130" si="322">SUM(AJ131:AJ133)</f>
        <v>0</v>
      </c>
      <c r="AL130" s="292"/>
      <c r="AM130" s="293"/>
      <c r="AN130" s="293"/>
      <c r="AO130" s="293"/>
      <c r="AP130" s="294"/>
      <c r="AQ130" s="139"/>
      <c r="AR130" s="292"/>
      <c r="AS130" s="293"/>
      <c r="AT130" s="293"/>
      <c r="AU130" s="293"/>
      <c r="AV130" s="294"/>
      <c r="AX130" s="719"/>
      <c r="AY130" s="720"/>
      <c r="AZ130" s="720"/>
      <c r="BA130" s="720"/>
      <c r="BB130" s="728"/>
      <c r="BC130" s="182">
        <f t="shared" ref="BC130:BC133" si="323">IF(BB130=0,9,IF(AH130&gt;=BB130,5,IF(AH130&gt;=BA130,4,IF(AH130&gt;=AZ130,3,IF(AH130&gt;=AY130,2,IF(AH130&lt;AX130,0,1))))))</f>
        <v>9</v>
      </c>
      <c r="BD130" s="164" t="str">
        <f t="shared" si="306"/>
        <v>N/A</v>
      </c>
      <c r="BE130" s="185"/>
      <c r="BF130" s="182">
        <f t="shared" si="307"/>
        <v>9</v>
      </c>
      <c r="BG130" s="164" t="str">
        <f t="shared" si="308"/>
        <v>N/A</v>
      </c>
      <c r="BH130" s="185"/>
      <c r="BI130" s="182">
        <f t="shared" ref="BI130:BI133" si="324">IF(BB130=0,9,IF(AJ130&gt;=BB130,5,IF(AJ130&gt;=BA130,4,IF(AJ130&gt;=AZ130,3,IF(AJ130&gt;=AY130,2,IF(AJ130&lt;AX130,0,1))))))</f>
        <v>9</v>
      </c>
      <c r="BJ130" s="164" t="str">
        <f t="shared" si="309"/>
        <v>N/A</v>
      </c>
      <c r="BK130" s="185"/>
      <c r="BN130" s="167"/>
      <c r="BO130" s="167"/>
      <c r="BP130" s="167" t="str">
        <f t="shared" si="156"/>
        <v/>
      </c>
      <c r="BQ130" s="167">
        <f t="shared" si="196"/>
        <v>9</v>
      </c>
      <c r="BR130" s="167">
        <f t="shared" si="197"/>
        <v>9</v>
      </c>
      <c r="BS130" s="167">
        <f t="shared" si="198"/>
        <v>9</v>
      </c>
      <c r="BV130" s="164"/>
      <c r="BW130" s="164"/>
      <c r="BX130" s="164"/>
      <c r="BY130" s="164"/>
      <c r="BZ130" s="164"/>
      <c r="CA130" s="164"/>
    </row>
    <row r="131" spans="1:84" x14ac:dyDescent="0.25">
      <c r="A131" s="96">
        <v>123</v>
      </c>
      <c r="B131" s="137"/>
      <c r="C131" s="188" t="s">
        <v>696</v>
      </c>
      <c r="D131" s="954" t="s">
        <v>994</v>
      </c>
      <c r="E131" s="788"/>
      <c r="F131" s="788"/>
      <c r="G131" s="788"/>
      <c r="H131" s="788"/>
      <c r="I131" s="788"/>
      <c r="J131" s="788"/>
      <c r="K131" s="788"/>
      <c r="L131" s="788"/>
      <c r="M131" s="788"/>
      <c r="N131" s="788"/>
      <c r="O131" s="788"/>
      <c r="P131" s="788"/>
      <c r="Q131" s="788"/>
      <c r="S131" s="221">
        <f t="shared" si="296"/>
        <v>0</v>
      </c>
      <c r="T131" s="166"/>
      <c r="U131" s="167"/>
      <c r="V131" s="167"/>
      <c r="W131" s="167"/>
      <c r="X131" s="168"/>
      <c r="Y131" s="168"/>
      <c r="Z131" s="169">
        <f t="shared" si="298"/>
        <v>0</v>
      </c>
      <c r="AA131" s="170">
        <f>IF($AB$5='Manuell filtrering og justering'!$J$2,Y131,(S131-Z131))</f>
        <v>0</v>
      </c>
      <c r="AC131" s="171">
        <f t="shared" si="299"/>
        <v>0</v>
      </c>
      <c r="AD131" s="171">
        <f t="shared" si="310"/>
        <v>0</v>
      </c>
      <c r="AE131" s="171">
        <f t="shared" si="311"/>
        <v>0</v>
      </c>
      <c r="AF131" s="171">
        <f t="shared" si="312"/>
        <v>0</v>
      </c>
      <c r="AH131" s="172">
        <f>IF(VLOOKUP(D131,'Pre-Assessment Estimator'!$E$11:$Z$224,'Pre-Assessment Estimator'!$G$2,FALSE)&gt;AA131,AA131,VLOOKUP(D131,'Pre-Assessment Estimator'!$E$11:$Z$224,'Pre-Assessment Estimator'!$G$2,FALSE))</f>
        <v>0</v>
      </c>
      <c r="AI131" s="172">
        <f>IF(VLOOKUP(D131,'Pre-Assessment Estimator'!$E$11:$Z$224,'Pre-Assessment Estimator'!$N$2,FALSE)&gt;AA131,AA131,VLOOKUP(D131,'Pre-Assessment Estimator'!$E$11:$Z$224,'Pre-Assessment Estimator'!$N$2,FALSE))</f>
        <v>0</v>
      </c>
      <c r="AJ131" s="172">
        <f>IF(VLOOKUP(D131,'Pre-Assessment Estimator'!$E$11:$Z$224,'Pre-Assessment Estimator'!$U$2,FALSE)&gt;AA131,AA131,VLOOKUP(D131,'Pre-Assessment Estimator'!$E$11:$Z$224,'Pre-Assessment Estimator'!$U$2,FALSE))</f>
        <v>0</v>
      </c>
      <c r="AL131" s="292"/>
      <c r="AM131" s="293"/>
      <c r="AN131" s="293"/>
      <c r="AO131" s="293"/>
      <c r="AP131" s="294"/>
      <c r="AQ131" s="139"/>
      <c r="AR131" s="292"/>
      <c r="AS131" s="293"/>
      <c r="AT131" s="293"/>
      <c r="AU131" s="293"/>
      <c r="AV131" s="294"/>
      <c r="AX131" s="719"/>
      <c r="AY131" s="720"/>
      <c r="AZ131" s="720"/>
      <c r="BA131" s="720"/>
      <c r="BB131" s="728"/>
      <c r="BC131" s="182">
        <f t="shared" si="323"/>
        <v>9</v>
      </c>
      <c r="BD131" s="164" t="str">
        <f t="shared" si="306"/>
        <v>N/A</v>
      </c>
      <c r="BE131" s="185"/>
      <c r="BF131" s="182">
        <f t="shared" si="307"/>
        <v>9</v>
      </c>
      <c r="BG131" s="164" t="str">
        <f t="shared" si="308"/>
        <v>N/A</v>
      </c>
      <c r="BH131" s="185"/>
      <c r="BI131" s="182">
        <f t="shared" si="324"/>
        <v>9</v>
      </c>
      <c r="BJ131" s="164" t="str">
        <f t="shared" si="309"/>
        <v>N/A</v>
      </c>
      <c r="BK131" s="185"/>
      <c r="BN131" s="167"/>
      <c r="BO131" s="167"/>
      <c r="BP131" s="167" t="str">
        <f t="shared" si="156"/>
        <v/>
      </c>
      <c r="BQ131" s="167">
        <f t="shared" si="196"/>
        <v>9</v>
      </c>
      <c r="BR131" s="167">
        <f t="shared" si="197"/>
        <v>9</v>
      </c>
      <c r="BS131" s="167">
        <f t="shared" si="198"/>
        <v>9</v>
      </c>
      <c r="BV131" s="164"/>
      <c r="BW131" s="164"/>
      <c r="BX131" s="164"/>
      <c r="BY131" s="164"/>
      <c r="BZ131" s="164"/>
      <c r="CA131" s="164"/>
    </row>
    <row r="132" spans="1:84" x14ac:dyDescent="0.25">
      <c r="A132" s="96">
        <v>124</v>
      </c>
      <c r="B132" s="96" t="str">
        <f t="shared" ref="B132:B133" si="325">$C$130&amp;C132</f>
        <v>Mat 02b</v>
      </c>
      <c r="C132" s="188" t="s">
        <v>699</v>
      </c>
      <c r="D132" s="1138" t="s">
        <v>653</v>
      </c>
      <c r="E132" s="788">
        <v>1</v>
      </c>
      <c r="F132" s="788">
        <v>1</v>
      </c>
      <c r="G132" s="788">
        <v>1</v>
      </c>
      <c r="H132" s="788">
        <v>1</v>
      </c>
      <c r="I132" s="788">
        <v>1</v>
      </c>
      <c r="J132" s="788">
        <v>1</v>
      </c>
      <c r="K132" s="788">
        <v>1</v>
      </c>
      <c r="L132" s="788">
        <v>1</v>
      </c>
      <c r="M132" s="788">
        <v>1</v>
      </c>
      <c r="N132" s="788">
        <v>1</v>
      </c>
      <c r="O132" s="788">
        <v>1</v>
      </c>
      <c r="P132" s="788">
        <v>1</v>
      </c>
      <c r="Q132" s="788">
        <v>1</v>
      </c>
      <c r="S132" s="221">
        <f t="shared" si="296"/>
        <v>1</v>
      </c>
      <c r="T132" s="166"/>
      <c r="U132" s="167"/>
      <c r="V132" s="167"/>
      <c r="W132" s="167"/>
      <c r="X132" s="168"/>
      <c r="Y132" s="168">
        <f>VLOOKUP(B132,'Manuell filtrering og justering'!$A$7:$H$253,'Manuell filtrering og justering'!$H$1,FALSE)</f>
        <v>1</v>
      </c>
      <c r="Z132" s="169">
        <f t="shared" si="298"/>
        <v>0</v>
      </c>
      <c r="AA132" s="170">
        <f>IF($AB$5='Manuell filtrering og justering'!$J$2,Y132,(S132-Z132))</f>
        <v>1</v>
      </c>
      <c r="AC132" s="171">
        <f t="shared" si="299"/>
        <v>8.0952380952380963E-3</v>
      </c>
      <c r="AD132" s="171">
        <f t="shared" si="310"/>
        <v>0</v>
      </c>
      <c r="AE132" s="171">
        <f t="shared" si="311"/>
        <v>0</v>
      </c>
      <c r="AF132" s="171">
        <f t="shared" si="312"/>
        <v>0</v>
      </c>
      <c r="AH132" s="172">
        <f>IF(VLOOKUP(D132,'Pre-Assessment Estimator'!$E$11:$Z$224,'Pre-Assessment Estimator'!$G$2,FALSE)&gt;AA132,AA132,VLOOKUP(D132,'Pre-Assessment Estimator'!$E$11:$Z$224,'Pre-Assessment Estimator'!$G$2,FALSE))</f>
        <v>0</v>
      </c>
      <c r="AI132" s="172">
        <f>IF(VLOOKUP(D132,'Pre-Assessment Estimator'!$E$11:$Z$224,'Pre-Assessment Estimator'!$N$2,FALSE)&gt;AA132,AA132,VLOOKUP(D132,'Pre-Assessment Estimator'!$E$11:$Z$224,'Pre-Assessment Estimator'!$N$2,FALSE))</f>
        <v>0</v>
      </c>
      <c r="AJ132" s="172">
        <f>IF(VLOOKUP(D132,'Pre-Assessment Estimator'!$E$11:$Z$224,'Pre-Assessment Estimator'!$U$2,FALSE)&gt;AA132,AA132,VLOOKUP(D132,'Pre-Assessment Estimator'!$E$11:$Z$224,'Pre-Assessment Estimator'!$U$2,FALSE))</f>
        <v>0</v>
      </c>
      <c r="AL132" s="292"/>
      <c r="AM132" s="293"/>
      <c r="AN132" s="293"/>
      <c r="AO132" s="293"/>
      <c r="AP132" s="294"/>
      <c r="AQ132" s="139"/>
      <c r="AR132" s="292"/>
      <c r="AS132" s="293"/>
      <c r="AT132" s="293"/>
      <c r="AU132" s="293"/>
      <c r="AV132" s="294"/>
      <c r="AX132" s="719"/>
      <c r="AY132" s="720"/>
      <c r="AZ132" s="720"/>
      <c r="BA132" s="720"/>
      <c r="BB132" s="728"/>
      <c r="BC132" s="182">
        <f t="shared" si="323"/>
        <v>9</v>
      </c>
      <c r="BD132" s="164" t="str">
        <f t="shared" si="306"/>
        <v>N/A</v>
      </c>
      <c r="BE132" s="185"/>
      <c r="BF132" s="182">
        <f t="shared" si="307"/>
        <v>9</v>
      </c>
      <c r="BG132" s="164" t="str">
        <f t="shared" si="308"/>
        <v>N/A</v>
      </c>
      <c r="BH132" s="185"/>
      <c r="BI132" s="182">
        <f t="shared" si="324"/>
        <v>9</v>
      </c>
      <c r="BJ132" s="164" t="str">
        <f t="shared" si="309"/>
        <v>N/A</v>
      </c>
      <c r="BK132" s="185"/>
      <c r="BN132" s="167"/>
      <c r="BO132" s="167"/>
      <c r="BP132" s="167" t="str">
        <f t="shared" si="156"/>
        <v/>
      </c>
      <c r="BQ132" s="167">
        <f t="shared" si="196"/>
        <v>9</v>
      </c>
      <c r="BR132" s="167">
        <f t="shared" si="197"/>
        <v>9</v>
      </c>
      <c r="BS132" s="167">
        <f t="shared" si="198"/>
        <v>9</v>
      </c>
      <c r="BV132" s="164"/>
      <c r="BW132" s="164"/>
      <c r="BX132" s="164"/>
      <c r="BY132" s="164"/>
      <c r="BZ132" s="164"/>
      <c r="CA132" s="164"/>
    </row>
    <row r="133" spans="1:84" x14ac:dyDescent="0.25">
      <c r="A133" s="96">
        <v>125</v>
      </c>
      <c r="B133" s="96" t="str">
        <f t="shared" si="325"/>
        <v>Mat 02c</v>
      </c>
      <c r="C133" s="188" t="s">
        <v>700</v>
      </c>
      <c r="D133" s="1138" t="s">
        <v>654</v>
      </c>
      <c r="E133" s="788">
        <v>2</v>
      </c>
      <c r="F133" s="788">
        <v>2</v>
      </c>
      <c r="G133" s="788">
        <v>2</v>
      </c>
      <c r="H133" s="788">
        <v>2</v>
      </c>
      <c r="I133" s="788">
        <v>2</v>
      </c>
      <c r="J133" s="788">
        <v>2</v>
      </c>
      <c r="K133" s="788">
        <v>2</v>
      </c>
      <c r="L133" s="788">
        <v>2</v>
      </c>
      <c r="M133" s="788">
        <v>2</v>
      </c>
      <c r="N133" s="788">
        <v>2</v>
      </c>
      <c r="O133" s="788">
        <v>2</v>
      </c>
      <c r="P133" s="788">
        <v>2</v>
      </c>
      <c r="Q133" s="788">
        <v>2</v>
      </c>
      <c r="S133" s="221">
        <f t="shared" si="296"/>
        <v>2</v>
      </c>
      <c r="T133" s="166"/>
      <c r="U133" s="167"/>
      <c r="V133" s="167"/>
      <c r="W133" s="167"/>
      <c r="X133" s="168"/>
      <c r="Y133" s="168">
        <f>VLOOKUP(B133,'Manuell filtrering og justering'!$A$7:$H$253,'Manuell filtrering og justering'!$H$1,FALSE)</f>
        <v>1</v>
      </c>
      <c r="Z133" s="169">
        <f t="shared" si="298"/>
        <v>0</v>
      </c>
      <c r="AA133" s="170">
        <f>IF($AB$5='Manuell filtrering og justering'!$J$2,Y133,(S133-Z133))</f>
        <v>2</v>
      </c>
      <c r="AC133" s="171">
        <f t="shared" si="299"/>
        <v>1.6190476190476193E-2</v>
      </c>
      <c r="AD133" s="171">
        <f t="shared" si="310"/>
        <v>0</v>
      </c>
      <c r="AE133" s="171">
        <f t="shared" si="311"/>
        <v>0</v>
      </c>
      <c r="AF133" s="171">
        <f t="shared" si="312"/>
        <v>0</v>
      </c>
      <c r="AH133" s="172">
        <f>IF(VLOOKUP(D133,'Pre-Assessment Estimator'!$E$11:$Z$224,'Pre-Assessment Estimator'!$G$2,FALSE)&gt;AA133,AA133,VLOOKUP(D133,'Pre-Assessment Estimator'!$E$11:$Z$224,'Pre-Assessment Estimator'!$G$2,FALSE))</f>
        <v>0</v>
      </c>
      <c r="AI133" s="172">
        <f>IF(VLOOKUP(D133,'Pre-Assessment Estimator'!$E$11:$Z$224,'Pre-Assessment Estimator'!$N$2,FALSE)&gt;AA133,AA133,VLOOKUP(D133,'Pre-Assessment Estimator'!$E$11:$Z$224,'Pre-Assessment Estimator'!$N$2,FALSE))</f>
        <v>0</v>
      </c>
      <c r="AJ133" s="172">
        <f>IF(VLOOKUP(D133,'Pre-Assessment Estimator'!$E$11:$Z$224,'Pre-Assessment Estimator'!$U$2,FALSE)&gt;AA133,AA133,VLOOKUP(D133,'Pre-Assessment Estimator'!$E$11:$Z$224,'Pre-Assessment Estimator'!$U$2,FALSE))</f>
        <v>0</v>
      </c>
      <c r="AL133" s="292"/>
      <c r="AM133" s="293"/>
      <c r="AN133" s="293"/>
      <c r="AO133" s="293"/>
      <c r="AP133" s="294"/>
      <c r="AQ133" s="139"/>
      <c r="AR133" s="292"/>
      <c r="AS133" s="293"/>
      <c r="AT133" s="293"/>
      <c r="AU133" s="293"/>
      <c r="AV133" s="294"/>
      <c r="AX133" s="719"/>
      <c r="AY133" s="720"/>
      <c r="AZ133" s="720"/>
      <c r="BA133" s="720"/>
      <c r="BB133" s="728"/>
      <c r="BC133" s="182">
        <f t="shared" si="323"/>
        <v>9</v>
      </c>
      <c r="BD133" s="164" t="str">
        <f t="shared" si="306"/>
        <v>N/A</v>
      </c>
      <c r="BE133" s="185"/>
      <c r="BF133" s="182">
        <f t="shared" si="307"/>
        <v>9</v>
      </c>
      <c r="BG133" s="164" t="str">
        <f t="shared" si="308"/>
        <v>N/A</v>
      </c>
      <c r="BH133" s="185"/>
      <c r="BI133" s="182">
        <f t="shared" si="324"/>
        <v>9</v>
      </c>
      <c r="BJ133" s="164" t="str">
        <f t="shared" si="309"/>
        <v>N/A</v>
      </c>
      <c r="BK133" s="185"/>
      <c r="BN133" s="167"/>
      <c r="BO133" s="167"/>
      <c r="BP133" s="167" t="str">
        <f t="shared" si="156"/>
        <v/>
      </c>
      <c r="BQ133" s="167">
        <f t="shared" si="196"/>
        <v>9</v>
      </c>
      <c r="BR133" s="167">
        <f t="shared" si="197"/>
        <v>9</v>
      </c>
      <c r="BS133" s="167">
        <f t="shared" si="198"/>
        <v>9</v>
      </c>
      <c r="BV133" s="164"/>
      <c r="BW133" s="164"/>
      <c r="BX133" s="164"/>
      <c r="BY133" s="164"/>
      <c r="BZ133" s="164"/>
      <c r="CA133" s="164"/>
    </row>
    <row r="134" spans="1:84" x14ac:dyDescent="0.25">
      <c r="A134" s="96">
        <v>126</v>
      </c>
      <c r="B134" s="137" t="str">
        <f>C134</f>
        <v>Mat 03</v>
      </c>
      <c r="C134" s="960" t="s">
        <v>176</v>
      </c>
      <c r="D134" s="845" t="s">
        <v>467</v>
      </c>
      <c r="E134" s="947">
        <f>SUM(E135:E137)</f>
        <v>3</v>
      </c>
      <c r="F134" s="947">
        <f t="shared" ref="F134:Q134" si="326">SUM(F135:F137)</f>
        <v>3</v>
      </c>
      <c r="G134" s="947">
        <f t="shared" si="326"/>
        <v>3</v>
      </c>
      <c r="H134" s="947">
        <f t="shared" si="326"/>
        <v>3</v>
      </c>
      <c r="I134" s="947">
        <f t="shared" si="326"/>
        <v>3</v>
      </c>
      <c r="J134" s="947">
        <f t="shared" si="326"/>
        <v>3</v>
      </c>
      <c r="K134" s="947">
        <f t="shared" si="326"/>
        <v>3</v>
      </c>
      <c r="L134" s="947">
        <f t="shared" si="326"/>
        <v>3</v>
      </c>
      <c r="M134" s="947">
        <f t="shared" si="326"/>
        <v>3</v>
      </c>
      <c r="N134" s="947">
        <f t="shared" si="326"/>
        <v>3</v>
      </c>
      <c r="O134" s="947">
        <f t="shared" si="326"/>
        <v>3</v>
      </c>
      <c r="P134" s="947">
        <f t="shared" ref="P134" si="327">SUM(P135:P137)</f>
        <v>3</v>
      </c>
      <c r="Q134" s="947">
        <f t="shared" si="326"/>
        <v>3</v>
      </c>
      <c r="R134" s="675"/>
      <c r="S134" s="977">
        <f t="shared" si="296"/>
        <v>3</v>
      </c>
      <c r="T134" s="222"/>
      <c r="U134" s="230"/>
      <c r="V134" s="230"/>
      <c r="W134" s="230">
        <f>'Manuell filtrering og justering'!E61</f>
        <v>0</v>
      </c>
      <c r="X134" s="230"/>
      <c r="Y134" s="972">
        <f t="shared" ref="Y134" si="328">SUM(Y135:Y137)</f>
        <v>2</v>
      </c>
      <c r="Z134" s="977">
        <f t="shared" si="298"/>
        <v>0</v>
      </c>
      <c r="AA134" s="1081">
        <f>SUM(AA135:AA137)</f>
        <v>3</v>
      </c>
      <c r="AC134" s="171">
        <f t="shared" si="299"/>
        <v>2.4285714285714289E-2</v>
      </c>
      <c r="AD134" s="935">
        <f>SUM(AD135:AD137)</f>
        <v>0</v>
      </c>
      <c r="AE134" s="935">
        <f t="shared" ref="AE134" si="329">SUM(AE135:AE137)</f>
        <v>0</v>
      </c>
      <c r="AF134" s="935">
        <f t="shared" ref="AF134" si="330">SUM(AF135:AF137)</f>
        <v>0</v>
      </c>
      <c r="AH134" s="972">
        <f t="shared" ref="AH134" si="331">SUM(AH135:AH137)</f>
        <v>0</v>
      </c>
      <c r="AI134" s="972">
        <f t="shared" ref="AI134" si="332">SUM(AI135:AI137)</f>
        <v>0</v>
      </c>
      <c r="AJ134" s="972">
        <f t="shared" ref="AJ134" si="333">SUM(AJ135:AJ137)</f>
        <v>0</v>
      </c>
      <c r="AL134" s="292"/>
      <c r="AM134" s="293"/>
      <c r="AN134" s="293"/>
      <c r="AO134" s="293"/>
      <c r="AP134" s="294"/>
      <c r="AQ134" s="139"/>
      <c r="AR134" s="292"/>
      <c r="AS134" s="293"/>
      <c r="AT134" s="293"/>
      <c r="AU134" s="293"/>
      <c r="AV134" s="294"/>
      <c r="AX134" s="188"/>
      <c r="AY134" s="189"/>
      <c r="AZ134" s="189"/>
      <c r="BA134" s="189"/>
      <c r="BB134" s="728"/>
      <c r="BC134" s="182">
        <f t="shared" ref="BC134:BC147" si="334">IF(BB134=0,9,IF(AH134&gt;=BB134,5,IF(AH134&gt;=BA134,4,IF(AH134&gt;=AZ134,3,IF(AH134&gt;=AY134,2,IF(AH134&lt;AX134,0,1))))))</f>
        <v>9</v>
      </c>
      <c r="BD134" s="164" t="str">
        <f t="shared" si="306"/>
        <v>N/A</v>
      </c>
      <c r="BE134" s="185"/>
      <c r="BF134" s="182">
        <f t="shared" ref="BF134:BF147" si="335">IF(BB134=0,9,IF(AI134&gt;=BB134,5,IF(AI134&gt;=BA134,4,IF(AI134&gt;=AZ134,3,IF(AI134&gt;=AY134,2,IF(AI134&lt;AX134,0,1))))))</f>
        <v>9</v>
      </c>
      <c r="BG134" s="164" t="str">
        <f t="shared" si="308"/>
        <v>N/A</v>
      </c>
      <c r="BH134" s="185"/>
      <c r="BI134" s="182">
        <f t="shared" ref="BI134:BI147" si="336">IF(BB134=0,9,IF(AJ134&gt;=BB134,5,IF(AJ134&gt;=BA134,4,IF(AJ134&gt;=AZ134,3,IF(AJ134&gt;=AY134,2,IF(AJ134&lt;AX134,0,1))))))</f>
        <v>9</v>
      </c>
      <c r="BJ134" s="164" t="str">
        <f t="shared" si="309"/>
        <v>N/A</v>
      </c>
      <c r="BK134" s="185"/>
      <c r="BN134" s="167"/>
      <c r="BO134" s="167"/>
      <c r="BP134" s="167" t="str">
        <f t="shared" si="156"/>
        <v/>
      </c>
      <c r="BQ134" s="167">
        <f t="shared" si="196"/>
        <v>9</v>
      </c>
      <c r="BR134" s="167">
        <f t="shared" si="197"/>
        <v>9</v>
      </c>
      <c r="BS134" s="167">
        <f t="shared" si="198"/>
        <v>9</v>
      </c>
      <c r="BV134" s="167" t="str">
        <f>C134</f>
        <v>Mat 03</v>
      </c>
      <c r="BW134" s="167" t="str">
        <f>IFERROR(VLOOKUP($D134,'Pre-Assessment Estimator'!$E$11:$AB$224,'Pre-Assessment Estimator'!AB$2,FALSE),"")</f>
        <v>N/A</v>
      </c>
      <c r="BX134" s="167">
        <f>IFERROR(VLOOKUP($D134,'Pre-Assessment Estimator'!$E$11:$AI$224,'Pre-Assessment Estimator'!AI$2,FALSE),"")</f>
        <v>0</v>
      </c>
      <c r="BY134" s="167">
        <f>IFERROR(VLOOKUP($BW134,$D$291:$G$324,E$289,FALSE),"")</f>
        <v>1</v>
      </c>
      <c r="BZ134" s="167">
        <f>IFERROR(VLOOKUP($BW134,$D$291:$G$324,F$289,FALSE),"")</f>
        <v>0</v>
      </c>
      <c r="CA134" s="167"/>
      <c r="CB134" s="96" t="s">
        <v>432</v>
      </c>
    </row>
    <row r="135" spans="1:84" x14ac:dyDescent="0.25">
      <c r="A135" s="96">
        <v>127</v>
      </c>
      <c r="C135" s="188" t="s">
        <v>696</v>
      </c>
      <c r="D135" s="959" t="s">
        <v>995</v>
      </c>
      <c r="E135" s="788"/>
      <c r="F135" s="788"/>
      <c r="G135" s="788"/>
      <c r="H135" s="788"/>
      <c r="I135" s="788"/>
      <c r="J135" s="788"/>
      <c r="K135" s="788"/>
      <c r="L135" s="788"/>
      <c r="M135" s="788"/>
      <c r="N135" s="788"/>
      <c r="O135" s="788"/>
      <c r="P135" s="788"/>
      <c r="Q135" s="788"/>
      <c r="R135" s="675"/>
      <c r="S135" s="221">
        <f t="shared" si="296"/>
        <v>0</v>
      </c>
      <c r="T135" s="166"/>
      <c r="U135" s="167"/>
      <c r="V135" s="167"/>
      <c r="W135" s="167"/>
      <c r="X135" s="168"/>
      <c r="Y135" s="168"/>
      <c r="Z135" s="169">
        <f t="shared" si="298"/>
        <v>0</v>
      </c>
      <c r="AA135" s="170">
        <f>IF($AB$5='Manuell filtrering og justering'!$J$2,Y135,(S135-Z135))</f>
        <v>0</v>
      </c>
      <c r="AC135" s="171">
        <f t="shared" si="299"/>
        <v>0</v>
      </c>
      <c r="AD135" s="171">
        <f t="shared" si="310"/>
        <v>0</v>
      </c>
      <c r="AE135" s="171">
        <f t="shared" si="311"/>
        <v>0</v>
      </c>
      <c r="AF135" s="171">
        <f t="shared" si="312"/>
        <v>0</v>
      </c>
      <c r="AH135" s="172">
        <f>IF(VLOOKUP(D135,'Pre-Assessment Estimator'!$E$11:$Z$224,'Pre-Assessment Estimator'!$G$2,FALSE)&gt;AA135,AA135,VLOOKUP(D135,'Pre-Assessment Estimator'!$E$11:$Z$224,'Pre-Assessment Estimator'!$G$2,FALSE))</f>
        <v>0</v>
      </c>
      <c r="AI135" s="172">
        <f>IF(VLOOKUP(D135,'Pre-Assessment Estimator'!$E$11:$Z$224,'Pre-Assessment Estimator'!$N$2,FALSE)&gt;AA135,AA135,VLOOKUP(D135,'Pre-Assessment Estimator'!$E$11:$Z$224,'Pre-Assessment Estimator'!$N$2,FALSE))</f>
        <v>0</v>
      </c>
      <c r="AJ135" s="172">
        <f>IF(VLOOKUP(D135,'Pre-Assessment Estimator'!$E$11:$Z$224,'Pre-Assessment Estimator'!$U$2,FALSE)&gt;AA135,AA135,VLOOKUP(D135,'Pre-Assessment Estimator'!$E$11:$Z$224,'Pre-Assessment Estimator'!$U$2,FALSE))</f>
        <v>0</v>
      </c>
      <c r="AL135" s="292"/>
      <c r="AM135" s="293"/>
      <c r="AN135" s="293"/>
      <c r="AO135" s="293"/>
      <c r="AP135" s="294"/>
      <c r="AQ135" s="139"/>
      <c r="AR135" s="292"/>
      <c r="AS135" s="293"/>
      <c r="AT135" s="293"/>
      <c r="AU135" s="293"/>
      <c r="AV135" s="294"/>
      <c r="AX135" s="188"/>
      <c r="AY135" s="189"/>
      <c r="AZ135" s="189"/>
      <c r="BA135" s="189"/>
      <c r="BB135" s="728"/>
      <c r="BC135" s="182">
        <f t="shared" si="334"/>
        <v>9</v>
      </c>
      <c r="BD135" s="164" t="str">
        <f t="shared" si="306"/>
        <v>N/A</v>
      </c>
      <c r="BE135" s="185"/>
      <c r="BF135" s="182">
        <f t="shared" si="335"/>
        <v>9</v>
      </c>
      <c r="BG135" s="164" t="str">
        <f t="shared" si="308"/>
        <v>N/A</v>
      </c>
      <c r="BH135" s="185"/>
      <c r="BI135" s="182">
        <f t="shared" si="336"/>
        <v>9</v>
      </c>
      <c r="BJ135" s="164" t="str">
        <f t="shared" si="309"/>
        <v>N/A</v>
      </c>
      <c r="BK135" s="185"/>
      <c r="BN135" s="167"/>
      <c r="BO135" s="167"/>
      <c r="BP135" s="167" t="str">
        <f t="shared" si="156"/>
        <v/>
      </c>
      <c r="BQ135" s="167">
        <f t="shared" si="196"/>
        <v>9</v>
      </c>
      <c r="BR135" s="167">
        <f t="shared" si="197"/>
        <v>9</v>
      </c>
      <c r="BS135" s="167">
        <f t="shared" si="198"/>
        <v>9</v>
      </c>
      <c r="BV135" s="167"/>
      <c r="BW135" s="167"/>
      <c r="BX135" s="167"/>
      <c r="BY135" s="167"/>
      <c r="BZ135" s="99"/>
      <c r="CA135" s="167"/>
    </row>
    <row r="136" spans="1:84" x14ac:dyDescent="0.25">
      <c r="A136" s="96">
        <v>128</v>
      </c>
      <c r="B136" s="96" t="str">
        <f t="shared" ref="B136:B137" si="337">$C$134&amp;C136</f>
        <v>Mat 03b</v>
      </c>
      <c r="C136" s="188" t="s">
        <v>699</v>
      </c>
      <c r="D136" s="1138" t="s">
        <v>656</v>
      </c>
      <c r="E136" s="788">
        <v>1</v>
      </c>
      <c r="F136" s="788">
        <v>1</v>
      </c>
      <c r="G136" s="788">
        <v>1</v>
      </c>
      <c r="H136" s="788">
        <v>1</v>
      </c>
      <c r="I136" s="788">
        <v>1</v>
      </c>
      <c r="J136" s="788">
        <v>1</v>
      </c>
      <c r="K136" s="788">
        <v>1</v>
      </c>
      <c r="L136" s="788">
        <v>1</v>
      </c>
      <c r="M136" s="788">
        <v>1</v>
      </c>
      <c r="N136" s="788">
        <v>1</v>
      </c>
      <c r="O136" s="788">
        <v>1</v>
      </c>
      <c r="P136" s="788">
        <v>1</v>
      </c>
      <c r="Q136" s="788">
        <v>1</v>
      </c>
      <c r="R136" s="675"/>
      <c r="S136" s="221">
        <f t="shared" si="296"/>
        <v>1</v>
      </c>
      <c r="T136" s="166"/>
      <c r="U136" s="167"/>
      <c r="V136" s="167"/>
      <c r="W136" s="167"/>
      <c r="X136" s="168"/>
      <c r="Y136" s="168">
        <f>VLOOKUP(B136,'Manuell filtrering og justering'!$A$7:$H$253,'Manuell filtrering og justering'!$H$1,FALSE)</f>
        <v>1</v>
      </c>
      <c r="Z136" s="169">
        <f t="shared" si="298"/>
        <v>0</v>
      </c>
      <c r="AA136" s="170">
        <f>IF($AB$5='Manuell filtrering og justering'!$J$2,Y136,(S136-Z136))</f>
        <v>1</v>
      </c>
      <c r="AC136" s="171">
        <f t="shared" si="299"/>
        <v>8.0952380952380963E-3</v>
      </c>
      <c r="AD136" s="171">
        <f t="shared" si="310"/>
        <v>0</v>
      </c>
      <c r="AE136" s="171">
        <f t="shared" si="311"/>
        <v>0</v>
      </c>
      <c r="AF136" s="171">
        <f t="shared" si="312"/>
        <v>0</v>
      </c>
      <c r="AH136" s="172">
        <f>IF(VLOOKUP(D136,'Pre-Assessment Estimator'!$E$11:$Z$224,'Pre-Assessment Estimator'!$G$2,FALSE)&gt;AA136,AA136,VLOOKUP(D136,'Pre-Assessment Estimator'!$E$11:$Z$224,'Pre-Assessment Estimator'!$G$2,FALSE))</f>
        <v>0</v>
      </c>
      <c r="AI136" s="172">
        <f>IF(VLOOKUP(D136,'Pre-Assessment Estimator'!$E$11:$Z$224,'Pre-Assessment Estimator'!$N$2,FALSE)&gt;AA136,AA136,VLOOKUP(D136,'Pre-Assessment Estimator'!$E$11:$Z$224,'Pre-Assessment Estimator'!$N$2,FALSE))</f>
        <v>0</v>
      </c>
      <c r="AJ136" s="172">
        <f>IF(VLOOKUP(D136,'Pre-Assessment Estimator'!$E$11:$Z$224,'Pre-Assessment Estimator'!$U$2,FALSE)&gt;AA136,AA136,VLOOKUP(D136,'Pre-Assessment Estimator'!$E$11:$Z$224,'Pre-Assessment Estimator'!$U$2,FALSE))</f>
        <v>0</v>
      </c>
      <c r="AL136" s="292"/>
      <c r="AM136" s="293"/>
      <c r="AN136" s="293"/>
      <c r="AO136" s="293"/>
      <c r="AP136" s="294"/>
      <c r="AQ136" s="139"/>
      <c r="AR136" s="292"/>
      <c r="AS136" s="293"/>
      <c r="AT136" s="293"/>
      <c r="AU136" s="293"/>
      <c r="AV136" s="294"/>
      <c r="AX136" s="188"/>
      <c r="AY136" s="189"/>
      <c r="AZ136" s="189"/>
      <c r="BA136" s="189"/>
      <c r="BB136" s="728"/>
      <c r="BC136" s="182">
        <f t="shared" si="334"/>
        <v>9</v>
      </c>
      <c r="BD136" s="164" t="str">
        <f t="shared" si="306"/>
        <v>N/A</v>
      </c>
      <c r="BE136" s="185"/>
      <c r="BF136" s="182">
        <f t="shared" si="335"/>
        <v>9</v>
      </c>
      <c r="BG136" s="164" t="str">
        <f t="shared" si="308"/>
        <v>N/A</v>
      </c>
      <c r="BH136" s="185"/>
      <c r="BI136" s="182">
        <f t="shared" si="336"/>
        <v>9</v>
      </c>
      <c r="BJ136" s="164" t="str">
        <f t="shared" si="309"/>
        <v>N/A</v>
      </c>
      <c r="BK136" s="185"/>
      <c r="BN136" s="167"/>
      <c r="BO136" s="167"/>
      <c r="BP136" s="167" t="str">
        <f t="shared" si="156"/>
        <v/>
      </c>
      <c r="BQ136" s="167">
        <f t="shared" si="196"/>
        <v>9</v>
      </c>
      <c r="BR136" s="167">
        <f t="shared" si="197"/>
        <v>9</v>
      </c>
      <c r="BS136" s="167">
        <f t="shared" si="198"/>
        <v>9</v>
      </c>
      <c r="BV136" s="167"/>
      <c r="BW136" s="167"/>
      <c r="BX136" s="167"/>
      <c r="BY136" s="167"/>
      <c r="BZ136" s="99"/>
      <c r="CA136" s="167"/>
    </row>
    <row r="137" spans="1:84" x14ac:dyDescent="0.25">
      <c r="A137" s="96">
        <v>129</v>
      </c>
      <c r="B137" s="96" t="str">
        <f t="shared" si="337"/>
        <v>Mat 03c</v>
      </c>
      <c r="C137" s="188" t="s">
        <v>700</v>
      </c>
      <c r="D137" s="1138" t="s">
        <v>657</v>
      </c>
      <c r="E137" s="788">
        <v>2</v>
      </c>
      <c r="F137" s="788">
        <v>2</v>
      </c>
      <c r="G137" s="788">
        <v>2</v>
      </c>
      <c r="H137" s="788">
        <v>2</v>
      </c>
      <c r="I137" s="788">
        <v>2</v>
      </c>
      <c r="J137" s="788">
        <v>2</v>
      </c>
      <c r="K137" s="788">
        <v>2</v>
      </c>
      <c r="L137" s="788">
        <v>2</v>
      </c>
      <c r="M137" s="788">
        <v>2</v>
      </c>
      <c r="N137" s="788">
        <v>2</v>
      </c>
      <c r="O137" s="788">
        <v>2</v>
      </c>
      <c r="P137" s="788">
        <v>2</v>
      </c>
      <c r="Q137" s="788">
        <v>2</v>
      </c>
      <c r="R137" s="675"/>
      <c r="S137" s="221">
        <f t="shared" si="296"/>
        <v>2</v>
      </c>
      <c r="T137" s="166"/>
      <c r="U137" s="167"/>
      <c r="V137" s="167"/>
      <c r="W137" s="167"/>
      <c r="X137" s="168"/>
      <c r="Y137" s="168">
        <f>VLOOKUP(B137,'Manuell filtrering og justering'!$A$7:$H$253,'Manuell filtrering og justering'!$H$1,FALSE)</f>
        <v>1</v>
      </c>
      <c r="Z137" s="169">
        <f t="shared" si="298"/>
        <v>0</v>
      </c>
      <c r="AA137" s="170">
        <f>IF($AB$5='Manuell filtrering og justering'!$J$2,Y137,(S137-Z137))</f>
        <v>2</v>
      </c>
      <c r="AC137" s="171">
        <f t="shared" si="299"/>
        <v>1.6190476190476193E-2</v>
      </c>
      <c r="AD137" s="171">
        <f t="shared" si="310"/>
        <v>0</v>
      </c>
      <c r="AE137" s="171">
        <f t="shared" si="311"/>
        <v>0</v>
      </c>
      <c r="AF137" s="171">
        <f t="shared" si="312"/>
        <v>0</v>
      </c>
      <c r="AH137" s="172">
        <f>IF(VLOOKUP(D137,'Pre-Assessment Estimator'!$E$11:$Z$224,'Pre-Assessment Estimator'!$G$2,FALSE)&gt;AA137,AA137,VLOOKUP(D137,'Pre-Assessment Estimator'!$E$11:$Z$224,'Pre-Assessment Estimator'!$G$2,FALSE))</f>
        <v>0</v>
      </c>
      <c r="AI137" s="172">
        <f>IF(VLOOKUP(D137,'Pre-Assessment Estimator'!$E$11:$Z$224,'Pre-Assessment Estimator'!$N$2,FALSE)&gt;AA137,AA137,VLOOKUP(D137,'Pre-Assessment Estimator'!$E$11:$Z$224,'Pre-Assessment Estimator'!$N$2,FALSE))</f>
        <v>0</v>
      </c>
      <c r="AJ137" s="172">
        <f>IF(VLOOKUP(D137,'Pre-Assessment Estimator'!$E$11:$Z$224,'Pre-Assessment Estimator'!$U$2,FALSE)&gt;AA137,AA137,VLOOKUP(D137,'Pre-Assessment Estimator'!$E$11:$Z$224,'Pre-Assessment Estimator'!$U$2,FALSE))</f>
        <v>0</v>
      </c>
      <c r="AL137" s="292"/>
      <c r="AM137" s="293"/>
      <c r="AN137" s="293"/>
      <c r="AO137" s="293"/>
      <c r="AP137" s="294"/>
      <c r="AQ137" s="139"/>
      <c r="AR137" s="292"/>
      <c r="AS137" s="293"/>
      <c r="AT137" s="293"/>
      <c r="AU137" s="293"/>
      <c r="AV137" s="294"/>
      <c r="AX137" s="188"/>
      <c r="AY137" s="189"/>
      <c r="AZ137" s="189"/>
      <c r="BA137" s="189"/>
      <c r="BB137" s="728"/>
      <c r="BC137" s="182">
        <f t="shared" si="334"/>
        <v>9</v>
      </c>
      <c r="BD137" s="164" t="str">
        <f t="shared" si="306"/>
        <v>N/A</v>
      </c>
      <c r="BE137" s="185"/>
      <c r="BF137" s="182">
        <f t="shared" si="335"/>
        <v>9</v>
      </c>
      <c r="BG137" s="164" t="str">
        <f t="shared" si="308"/>
        <v>N/A</v>
      </c>
      <c r="BH137" s="185"/>
      <c r="BI137" s="182">
        <f t="shared" si="336"/>
        <v>9</v>
      </c>
      <c r="BJ137" s="164" t="str">
        <f t="shared" si="309"/>
        <v>N/A</v>
      </c>
      <c r="BK137" s="185"/>
      <c r="BN137" s="167"/>
      <c r="BO137" s="167"/>
      <c r="BP137" s="167" t="str">
        <f t="shared" si="156"/>
        <v/>
      </c>
      <c r="BQ137" s="167">
        <f t="shared" si="196"/>
        <v>9</v>
      </c>
      <c r="BR137" s="167">
        <f t="shared" si="197"/>
        <v>9</v>
      </c>
      <c r="BS137" s="167">
        <f t="shared" si="198"/>
        <v>9</v>
      </c>
      <c r="BV137" s="167"/>
      <c r="BW137" s="167"/>
      <c r="BX137" s="167"/>
      <c r="BY137" s="167"/>
      <c r="BZ137" s="99"/>
      <c r="CA137" s="167"/>
    </row>
    <row r="138" spans="1:84" x14ac:dyDescent="0.25">
      <c r="A138" s="96">
        <v>130</v>
      </c>
      <c r="B138" s="137" t="str">
        <f>C138</f>
        <v>Mat 05</v>
      </c>
      <c r="C138" s="960" t="s">
        <v>177</v>
      </c>
      <c r="D138" s="845" t="s">
        <v>963</v>
      </c>
      <c r="E138" s="947">
        <f>SUM(E139:E143)</f>
        <v>4</v>
      </c>
      <c r="F138" s="947">
        <f t="shared" ref="F138:Q138" si="338">SUM(F139:F143)</f>
        <v>4</v>
      </c>
      <c r="G138" s="947">
        <f t="shared" si="338"/>
        <v>4</v>
      </c>
      <c r="H138" s="947">
        <f t="shared" si="338"/>
        <v>4</v>
      </c>
      <c r="I138" s="947">
        <f t="shared" si="338"/>
        <v>4</v>
      </c>
      <c r="J138" s="947">
        <f t="shared" si="338"/>
        <v>4</v>
      </c>
      <c r="K138" s="947">
        <f t="shared" si="338"/>
        <v>4</v>
      </c>
      <c r="L138" s="947">
        <f t="shared" si="338"/>
        <v>4</v>
      </c>
      <c r="M138" s="947">
        <f t="shared" si="338"/>
        <v>4</v>
      </c>
      <c r="N138" s="947">
        <f t="shared" si="338"/>
        <v>4</v>
      </c>
      <c r="O138" s="947">
        <f t="shared" si="338"/>
        <v>4</v>
      </c>
      <c r="P138" s="947">
        <f t="shared" ref="P138" si="339">SUM(P139:P143)</f>
        <v>4</v>
      </c>
      <c r="Q138" s="947">
        <f t="shared" si="338"/>
        <v>4</v>
      </c>
      <c r="R138" s="675"/>
      <c r="S138" s="977">
        <f t="shared" si="296"/>
        <v>4</v>
      </c>
      <c r="T138" s="222"/>
      <c r="U138" s="230"/>
      <c r="V138" s="230"/>
      <c r="W138" s="230">
        <f>'Manuell filtrering og justering'!E62</f>
        <v>0</v>
      </c>
      <c r="X138" s="230"/>
      <c r="Y138" s="972">
        <f>SUM(Y139:Y143)</f>
        <v>4</v>
      </c>
      <c r="Z138" s="977">
        <f t="shared" si="298"/>
        <v>0</v>
      </c>
      <c r="AA138" s="1081">
        <f>SUM(AA139:AA143)</f>
        <v>4</v>
      </c>
      <c r="AC138" s="171">
        <f t="shared" si="299"/>
        <v>3.2380952380952385E-2</v>
      </c>
      <c r="AD138" s="935">
        <f>SUM(AD139:AD143)</f>
        <v>0</v>
      </c>
      <c r="AE138" s="935">
        <f>SUM(AE139:AE143)</f>
        <v>0</v>
      </c>
      <c r="AF138" s="935">
        <f>SUM(AF139:AF143)</f>
        <v>0</v>
      </c>
      <c r="AH138" s="972">
        <f>SUM(AH139:AH143)</f>
        <v>0</v>
      </c>
      <c r="AI138" s="972">
        <f>SUM(AI139:AI143)</f>
        <v>0</v>
      </c>
      <c r="AJ138" s="972">
        <f>SUM(AJ139:AJ143)</f>
        <v>0</v>
      </c>
      <c r="AK138" s="96" t="s">
        <v>428</v>
      </c>
      <c r="AL138" s="292"/>
      <c r="AM138" s="293"/>
      <c r="AN138" s="293"/>
      <c r="AO138" s="293"/>
      <c r="AP138" s="294"/>
      <c r="AQ138" s="139"/>
      <c r="AR138" s="292"/>
      <c r="AS138" s="293"/>
      <c r="AT138" s="293"/>
      <c r="AU138" s="293"/>
      <c r="AV138" s="294"/>
      <c r="AX138" s="188"/>
      <c r="AY138" s="189"/>
      <c r="AZ138" s="189"/>
      <c r="BA138" s="189"/>
      <c r="BB138" s="728"/>
      <c r="BC138" s="182">
        <f t="shared" si="334"/>
        <v>9</v>
      </c>
      <c r="BD138" s="164" t="str">
        <f t="shared" si="306"/>
        <v>N/A</v>
      </c>
      <c r="BE138" s="185"/>
      <c r="BF138" s="182">
        <f t="shared" si="335"/>
        <v>9</v>
      </c>
      <c r="BG138" s="164" t="str">
        <f t="shared" si="308"/>
        <v>N/A</v>
      </c>
      <c r="BH138" s="185"/>
      <c r="BI138" s="182">
        <f t="shared" si="336"/>
        <v>9</v>
      </c>
      <c r="BJ138" s="164" t="str">
        <f t="shared" si="309"/>
        <v>N/A</v>
      </c>
      <c r="BK138" s="185"/>
      <c r="BN138" s="167"/>
      <c r="BO138" s="167"/>
      <c r="BP138" s="167" t="str">
        <f t="shared" si="156"/>
        <v/>
      </c>
      <c r="BQ138" s="167">
        <f t="shared" si="196"/>
        <v>9</v>
      </c>
      <c r="BR138" s="167">
        <f t="shared" si="197"/>
        <v>9</v>
      </c>
      <c r="BS138" s="167">
        <f t="shared" si="198"/>
        <v>9</v>
      </c>
      <c r="BV138" s="167" t="str">
        <f>C138</f>
        <v>Mat 05</v>
      </c>
      <c r="BW138" s="167" t="str">
        <f>IFERROR(VLOOKUP($D138,'Pre-Assessment Estimator'!$E$11:$AB$224,'Pre-Assessment Estimator'!AB$2,FALSE),"")</f>
        <v>No</v>
      </c>
      <c r="BX138" s="230" t="str">
        <f>IFERROR(VLOOKUP($D138,'Pre-Assessment Estimator'!$E$11:$AI$224,'Pre-Assessment Estimator'!AI$2,FALSE),"")</f>
        <v>Ja</v>
      </c>
      <c r="BY138" s="167">
        <f>IFERROR(VLOOKUP($BW138,$D$291:$G$324,E$289,FALSE),"")</f>
        <v>1</v>
      </c>
      <c r="BZ138" s="688" t="s">
        <v>433</v>
      </c>
      <c r="CA138" s="167"/>
      <c r="CB138" s="96" t="str">
        <f>IFERROR(VLOOKUP($BW138,$D$291:$G$324,H$289,FALSE),"")</f>
        <v/>
      </c>
      <c r="CC138" s="96" t="s">
        <v>439</v>
      </c>
      <c r="CD138" s="167">
        <f>VLOOKUP(BZ138,$BZ$4:$CA$5,2,FALSE)</f>
        <v>1</v>
      </c>
      <c r="CF138" s="689">
        <f>IF($BW$5=ais_no,CD138,IF(AND(BZ138=$BZ$4,BW138=$CB$4),0,BY138))</f>
        <v>1</v>
      </c>
    </row>
    <row r="139" spans="1:84" x14ac:dyDescent="0.25">
      <c r="A139" s="96">
        <v>131</v>
      </c>
      <c r="C139" s="188" t="s">
        <v>696</v>
      </c>
      <c r="D139" s="954" t="s">
        <v>658</v>
      </c>
      <c r="E139" s="788"/>
      <c r="F139" s="788"/>
      <c r="G139" s="788"/>
      <c r="H139" s="788"/>
      <c r="I139" s="788"/>
      <c r="J139" s="788"/>
      <c r="K139" s="788"/>
      <c r="L139" s="788"/>
      <c r="M139" s="788"/>
      <c r="N139" s="788"/>
      <c r="O139" s="788"/>
      <c r="P139" s="788"/>
      <c r="Q139" s="788"/>
      <c r="R139" s="675"/>
      <c r="S139" s="221">
        <f t="shared" si="296"/>
        <v>0</v>
      </c>
      <c r="T139" s="166"/>
      <c r="U139" s="167"/>
      <c r="V139" s="167"/>
      <c r="W139" s="167"/>
      <c r="X139" s="168"/>
      <c r="Y139" s="168"/>
      <c r="Z139" s="169">
        <f t="shared" si="298"/>
        <v>0</v>
      </c>
      <c r="AA139" s="170">
        <f>IF($AB$5='Manuell filtrering og justering'!$J$2,Y139,(S139-Z139))</f>
        <v>0</v>
      </c>
      <c r="AC139" s="171">
        <f t="shared" si="299"/>
        <v>0</v>
      </c>
      <c r="AD139" s="171">
        <f t="shared" si="310"/>
        <v>0</v>
      </c>
      <c r="AE139" s="171">
        <f t="shared" si="311"/>
        <v>0</v>
      </c>
      <c r="AF139" s="171">
        <f t="shared" si="312"/>
        <v>0</v>
      </c>
      <c r="AH139" s="172">
        <f>IF(VLOOKUP(D139,'Pre-Assessment Estimator'!$E$11:$Z$224,'Pre-Assessment Estimator'!$G$2,FALSE)&gt;AA139,AA139,VLOOKUP(D139,'Pre-Assessment Estimator'!$E$11:$Z$224,'Pre-Assessment Estimator'!$G$2,FALSE))</f>
        <v>0</v>
      </c>
      <c r="AI139" s="172">
        <f>IF(VLOOKUP(D139,'Pre-Assessment Estimator'!$E$11:$Z$224,'Pre-Assessment Estimator'!$N$2,FALSE)&gt;AA139,AA139,VLOOKUP(D139,'Pre-Assessment Estimator'!$E$11:$Z$224,'Pre-Assessment Estimator'!$N$2,FALSE))</f>
        <v>0</v>
      </c>
      <c r="AJ139" s="172">
        <f>IF(VLOOKUP(D139,'Pre-Assessment Estimator'!$E$11:$Z$224,'Pre-Assessment Estimator'!$U$2,FALSE)&gt;AA139,AA139,VLOOKUP(D139,'Pre-Assessment Estimator'!$E$11:$Z$224,'Pre-Assessment Estimator'!$U$2,FALSE))</f>
        <v>0</v>
      </c>
      <c r="AL139" s="292"/>
      <c r="AM139" s="293"/>
      <c r="AN139" s="293"/>
      <c r="AO139" s="293"/>
      <c r="AP139" s="294"/>
      <c r="AQ139" s="139"/>
      <c r="AR139" s="292"/>
      <c r="AS139" s="293"/>
      <c r="AT139" s="293"/>
      <c r="AU139" s="293"/>
      <c r="AV139" s="294"/>
      <c r="AX139" s="188"/>
      <c r="AY139" s="189"/>
      <c r="AZ139" s="189"/>
      <c r="BA139" s="189"/>
      <c r="BB139" s="728"/>
      <c r="BC139" s="182">
        <f t="shared" si="334"/>
        <v>9</v>
      </c>
      <c r="BD139" s="164" t="str">
        <f t="shared" si="306"/>
        <v>N/A</v>
      </c>
      <c r="BE139" s="185"/>
      <c r="BF139" s="182">
        <f t="shared" si="335"/>
        <v>9</v>
      </c>
      <c r="BG139" s="164" t="str">
        <f t="shared" si="308"/>
        <v>N/A</v>
      </c>
      <c r="BH139" s="185"/>
      <c r="BI139" s="182">
        <f t="shared" si="336"/>
        <v>9</v>
      </c>
      <c r="BJ139" s="164" t="str">
        <f t="shared" si="309"/>
        <v>N/A</v>
      </c>
      <c r="BK139" s="185"/>
      <c r="BN139" s="167"/>
      <c r="BO139" s="167"/>
      <c r="BP139" s="167" t="str">
        <f t="shared" ref="BP139:BP202" si="340">IF(BN139&lt;&gt;"",BN139,IF(BO139&lt;&gt;"",BO139,""))</f>
        <v/>
      </c>
      <c r="BQ139" s="167">
        <f t="shared" si="196"/>
        <v>9</v>
      </c>
      <c r="BR139" s="167">
        <f t="shared" si="197"/>
        <v>9</v>
      </c>
      <c r="BS139" s="167">
        <f t="shared" si="198"/>
        <v>9</v>
      </c>
      <c r="BV139" s="167"/>
      <c r="BW139" s="167"/>
      <c r="BX139" s="230"/>
      <c r="BY139" s="167"/>
      <c r="BZ139" s="688"/>
      <c r="CA139" s="167"/>
      <c r="CD139" s="99"/>
      <c r="CF139" s="689"/>
    </row>
    <row r="140" spans="1:84" x14ac:dyDescent="0.25">
      <c r="A140" s="96">
        <v>132</v>
      </c>
      <c r="B140" s="96" t="str">
        <f t="shared" ref="B140:B143" si="341">$C$138&amp;C140</f>
        <v>Mat 05b</v>
      </c>
      <c r="C140" s="188" t="s">
        <v>699</v>
      </c>
      <c r="D140" s="1138" t="s">
        <v>659</v>
      </c>
      <c r="E140" s="788">
        <v>1</v>
      </c>
      <c r="F140" s="788">
        <v>1</v>
      </c>
      <c r="G140" s="788">
        <v>1</v>
      </c>
      <c r="H140" s="788">
        <v>1</v>
      </c>
      <c r="I140" s="788">
        <v>1</v>
      </c>
      <c r="J140" s="788">
        <v>1</v>
      </c>
      <c r="K140" s="788">
        <v>1</v>
      </c>
      <c r="L140" s="788">
        <v>1</v>
      </c>
      <c r="M140" s="788">
        <v>1</v>
      </c>
      <c r="N140" s="788">
        <v>1</v>
      </c>
      <c r="O140" s="788">
        <v>1</v>
      </c>
      <c r="P140" s="788">
        <v>1</v>
      </c>
      <c r="Q140" s="788">
        <v>1</v>
      </c>
      <c r="R140" s="675"/>
      <c r="S140" s="221">
        <f t="shared" si="296"/>
        <v>1</v>
      </c>
      <c r="T140" s="166"/>
      <c r="U140" s="167"/>
      <c r="V140" s="167"/>
      <c r="W140" s="167"/>
      <c r="X140" s="168"/>
      <c r="Y140" s="168">
        <f>VLOOKUP(B140,'Manuell filtrering og justering'!$A$7:$H$253,'Manuell filtrering og justering'!$H$1,FALSE)</f>
        <v>1</v>
      </c>
      <c r="Z140" s="169">
        <f t="shared" si="298"/>
        <v>0</v>
      </c>
      <c r="AA140" s="170">
        <f>IF($AB$5='Manuell filtrering og justering'!$J$2,Y140,(S140-Z140))</f>
        <v>1</v>
      </c>
      <c r="AC140" s="171">
        <f t="shared" si="299"/>
        <v>8.0952380952380963E-3</v>
      </c>
      <c r="AD140" s="171">
        <f t="shared" si="310"/>
        <v>0</v>
      </c>
      <c r="AE140" s="171">
        <f t="shared" si="311"/>
        <v>0</v>
      </c>
      <c r="AF140" s="171">
        <f t="shared" si="312"/>
        <v>0</v>
      </c>
      <c r="AH140" s="1082">
        <f>IF(AH240=AD_no,0,IF(VLOOKUP(D140,'Pre-Assessment Estimator'!$E$11:$Z$224,'Pre-Assessment Estimator'!$G$2,FALSE)&gt;AA140,AA140,VLOOKUP(D140,'Pre-Assessment Estimator'!$E$11:$Z$224,'Pre-Assessment Estimator'!$G$2,FALSE)))</f>
        <v>0</v>
      </c>
      <c r="AI140" s="1082">
        <f>IF(AI240=AD_no,0,IF(VLOOKUP(D140,'Pre-Assessment Estimator'!$E$11:$Z$224,'Pre-Assessment Estimator'!$N$2,FALSE)&gt;AA140,AA140,VLOOKUP(D140,'Pre-Assessment Estimator'!$E$11:$Z$224,'Pre-Assessment Estimator'!$N$2,FALSE)))</f>
        <v>0</v>
      </c>
      <c r="AJ140" s="1082">
        <f>IF(AJ240=AD_no,0,IF(VLOOKUP(D140,'Pre-Assessment Estimator'!$E$11:$Z$224,'Pre-Assessment Estimator'!$U$2,FALSE)&gt;AA140,AA140,VLOOKUP(D140,'Pre-Assessment Estimator'!$E$11:$Z$224,'Pre-Assessment Estimator'!$U$2,FALSE)))</f>
        <v>0</v>
      </c>
      <c r="AL140" s="292"/>
      <c r="AM140" s="293"/>
      <c r="AN140" s="293"/>
      <c r="AO140" s="293"/>
      <c r="AP140" s="294"/>
      <c r="AQ140" s="139"/>
      <c r="AR140" s="292"/>
      <c r="AS140" s="293"/>
      <c r="AT140" s="293"/>
      <c r="AU140" s="293"/>
      <c r="AV140" s="294"/>
      <c r="AX140" s="188"/>
      <c r="AY140" s="189"/>
      <c r="AZ140" s="189"/>
      <c r="BA140" s="189"/>
      <c r="BB140" s="728"/>
      <c r="BC140" s="182">
        <f t="shared" si="334"/>
        <v>9</v>
      </c>
      <c r="BD140" s="164" t="str">
        <f t="shared" si="306"/>
        <v>N/A</v>
      </c>
      <c r="BE140" s="185"/>
      <c r="BF140" s="182">
        <f t="shared" si="335"/>
        <v>9</v>
      </c>
      <c r="BG140" s="164" t="str">
        <f t="shared" si="308"/>
        <v>N/A</v>
      </c>
      <c r="BH140" s="185"/>
      <c r="BI140" s="182">
        <f t="shared" si="336"/>
        <v>9</v>
      </c>
      <c r="BJ140" s="164" t="str">
        <f t="shared" si="309"/>
        <v>N/A</v>
      </c>
      <c r="BK140" s="185"/>
      <c r="BN140" s="167"/>
      <c r="BO140" s="167"/>
      <c r="BP140" s="167" t="str">
        <f t="shared" si="340"/>
        <v/>
      </c>
      <c r="BQ140" s="167">
        <f t="shared" si="196"/>
        <v>9</v>
      </c>
      <c r="BR140" s="167">
        <f t="shared" si="197"/>
        <v>9</v>
      </c>
      <c r="BS140" s="167">
        <f t="shared" si="198"/>
        <v>9</v>
      </c>
      <c r="BV140" s="167"/>
      <c r="BW140" s="167"/>
      <c r="BX140" s="230"/>
      <c r="BY140" s="167"/>
      <c r="BZ140" s="688"/>
      <c r="CA140" s="167"/>
      <c r="CD140" s="99"/>
      <c r="CF140" s="689"/>
    </row>
    <row r="141" spans="1:84" x14ac:dyDescent="0.25">
      <c r="A141" s="96">
        <v>133</v>
      </c>
      <c r="B141" s="96" t="str">
        <f t="shared" si="341"/>
        <v>Mat 05c</v>
      </c>
      <c r="C141" s="188" t="s">
        <v>700</v>
      </c>
      <c r="D141" s="1138" t="s">
        <v>660</v>
      </c>
      <c r="E141" s="788">
        <v>1</v>
      </c>
      <c r="F141" s="788">
        <v>1</v>
      </c>
      <c r="G141" s="788">
        <v>1</v>
      </c>
      <c r="H141" s="788">
        <v>1</v>
      </c>
      <c r="I141" s="788">
        <v>1</v>
      </c>
      <c r="J141" s="788">
        <v>1</v>
      </c>
      <c r="K141" s="788">
        <v>1</v>
      </c>
      <c r="L141" s="788">
        <v>1</v>
      </c>
      <c r="M141" s="788">
        <v>1</v>
      </c>
      <c r="N141" s="788">
        <v>1</v>
      </c>
      <c r="O141" s="788">
        <v>1</v>
      </c>
      <c r="P141" s="788">
        <v>1</v>
      </c>
      <c r="Q141" s="788">
        <v>1</v>
      </c>
      <c r="R141" s="675"/>
      <c r="S141" s="221">
        <f t="shared" si="296"/>
        <v>1</v>
      </c>
      <c r="T141" s="166"/>
      <c r="U141" s="167"/>
      <c r="V141" s="167"/>
      <c r="W141" s="167"/>
      <c r="X141" s="168"/>
      <c r="Y141" s="168">
        <f>VLOOKUP(B141,'Manuell filtrering og justering'!$A$7:$H$253,'Manuell filtrering og justering'!$H$1,FALSE)</f>
        <v>1</v>
      </c>
      <c r="Z141" s="169">
        <f t="shared" si="298"/>
        <v>0</v>
      </c>
      <c r="AA141" s="170">
        <f>IF($AB$5='Manuell filtrering og justering'!$J$2,Y141,(S141-Z141))</f>
        <v>1</v>
      </c>
      <c r="AC141" s="171">
        <f t="shared" si="299"/>
        <v>8.0952380952380963E-3</v>
      </c>
      <c r="AD141" s="171">
        <f t="shared" si="310"/>
        <v>0</v>
      </c>
      <c r="AE141" s="171">
        <f t="shared" si="311"/>
        <v>0</v>
      </c>
      <c r="AF141" s="171">
        <f t="shared" si="312"/>
        <v>0</v>
      </c>
      <c r="AH141" s="1082">
        <f>IF(AH240=AD_no,0,IF(VLOOKUP(D141,'Pre-Assessment Estimator'!$E$11:$Z$224,'Pre-Assessment Estimator'!$G$2,FALSE)&gt;AA141,AA141,VLOOKUP(D141,'Pre-Assessment Estimator'!$E$11:$Z$224,'Pre-Assessment Estimator'!$G$2,FALSE)))</f>
        <v>0</v>
      </c>
      <c r="AI141" s="1082">
        <f>IF(AI240=AD_no,0,IF(VLOOKUP(D141,'Pre-Assessment Estimator'!$E$11:$Z$224,'Pre-Assessment Estimator'!$N$2,FALSE)&gt;AA141,AA141,VLOOKUP(D141,'Pre-Assessment Estimator'!$E$11:$Z$224,'Pre-Assessment Estimator'!$N$2,FALSE)))</f>
        <v>0</v>
      </c>
      <c r="AJ141" s="1082">
        <f>IF(AJ240=AD_no,0,IF(VLOOKUP(D141,'Pre-Assessment Estimator'!$E$11:$Z$224,'Pre-Assessment Estimator'!$U$2,FALSE)&gt;AA141,AA141,VLOOKUP(D141,'Pre-Assessment Estimator'!$E$11:$Z$224,'Pre-Assessment Estimator'!$U$2,FALSE)))</f>
        <v>0</v>
      </c>
      <c r="AL141" s="292"/>
      <c r="AM141" s="293"/>
      <c r="AN141" s="293"/>
      <c r="AO141" s="293"/>
      <c r="AP141" s="294"/>
      <c r="AQ141" s="139"/>
      <c r="AR141" s="292"/>
      <c r="AS141" s="293"/>
      <c r="AT141" s="293"/>
      <c r="AU141" s="293"/>
      <c r="AV141" s="294"/>
      <c r="AX141" s="188"/>
      <c r="AY141" s="189"/>
      <c r="AZ141" s="189"/>
      <c r="BA141" s="189"/>
      <c r="BB141" s="728"/>
      <c r="BC141" s="182">
        <f t="shared" si="334"/>
        <v>9</v>
      </c>
      <c r="BD141" s="164" t="str">
        <f t="shared" si="306"/>
        <v>N/A</v>
      </c>
      <c r="BE141" s="185"/>
      <c r="BF141" s="182">
        <f t="shared" si="335"/>
        <v>9</v>
      </c>
      <c r="BG141" s="164" t="str">
        <f t="shared" si="308"/>
        <v>N/A</v>
      </c>
      <c r="BH141" s="185"/>
      <c r="BI141" s="182">
        <f t="shared" si="336"/>
        <v>9</v>
      </c>
      <c r="BJ141" s="164" t="str">
        <f t="shared" si="309"/>
        <v>N/A</v>
      </c>
      <c r="BK141" s="185"/>
      <c r="BN141" s="167"/>
      <c r="BO141" s="167"/>
      <c r="BP141" s="167" t="str">
        <f t="shared" si="340"/>
        <v/>
      </c>
      <c r="BQ141" s="167">
        <f t="shared" si="196"/>
        <v>9</v>
      </c>
      <c r="BR141" s="167">
        <f t="shared" si="197"/>
        <v>9</v>
      </c>
      <c r="BS141" s="167">
        <f t="shared" si="198"/>
        <v>9</v>
      </c>
      <c r="BV141" s="167"/>
      <c r="BW141" s="167"/>
      <c r="BX141" s="230"/>
      <c r="BY141" s="167"/>
      <c r="BZ141" s="688"/>
      <c r="CA141" s="167"/>
      <c r="CD141" s="99"/>
      <c r="CF141" s="689"/>
    </row>
    <row r="142" spans="1:84" x14ac:dyDescent="0.25">
      <c r="A142" s="96">
        <v>134</v>
      </c>
      <c r="B142" s="96" t="str">
        <f t="shared" si="341"/>
        <v>Mat 05d</v>
      </c>
      <c r="C142" s="188" t="s">
        <v>698</v>
      </c>
      <c r="D142" s="1138" t="s">
        <v>1013</v>
      </c>
      <c r="E142" s="788">
        <v>1</v>
      </c>
      <c r="F142" s="788">
        <v>1</v>
      </c>
      <c r="G142" s="788">
        <v>1</v>
      </c>
      <c r="H142" s="788">
        <v>1</v>
      </c>
      <c r="I142" s="788">
        <v>1</v>
      </c>
      <c r="J142" s="788">
        <v>1</v>
      </c>
      <c r="K142" s="788">
        <v>1</v>
      </c>
      <c r="L142" s="788">
        <v>1</v>
      </c>
      <c r="M142" s="788">
        <v>1</v>
      </c>
      <c r="N142" s="788">
        <v>1</v>
      </c>
      <c r="O142" s="788">
        <v>1</v>
      </c>
      <c r="P142" s="788">
        <v>1</v>
      </c>
      <c r="Q142" s="788">
        <v>1</v>
      </c>
      <c r="R142" s="675"/>
      <c r="S142" s="221">
        <f t="shared" si="296"/>
        <v>1</v>
      </c>
      <c r="T142" s="166"/>
      <c r="U142" s="167"/>
      <c r="V142" s="167"/>
      <c r="W142" s="167"/>
      <c r="X142" s="168"/>
      <c r="Y142" s="168">
        <f>VLOOKUP(B142,'Manuell filtrering og justering'!$A$7:$H$253,'Manuell filtrering og justering'!$H$1,FALSE)</f>
        <v>1</v>
      </c>
      <c r="Z142" s="169">
        <f t="shared" si="298"/>
        <v>0</v>
      </c>
      <c r="AA142" s="170">
        <f>IF($AB$5='Manuell filtrering og justering'!$J$2,Y142,(S142-Z142))</f>
        <v>1</v>
      </c>
      <c r="AC142" s="171">
        <f t="shared" si="299"/>
        <v>8.0952380952380963E-3</v>
      </c>
      <c r="AD142" s="171">
        <f t="shared" si="310"/>
        <v>0</v>
      </c>
      <c r="AE142" s="171">
        <f t="shared" si="311"/>
        <v>0</v>
      </c>
      <c r="AF142" s="171">
        <f t="shared" si="312"/>
        <v>0</v>
      </c>
      <c r="AH142" s="1082">
        <f>IF(AH240=AD_no,0,IF(VLOOKUP(D142,'Pre-Assessment Estimator'!$E$11:$Z$224,'Pre-Assessment Estimator'!$G$2,FALSE)&gt;AA142,AA142,VLOOKUP(D142,'Pre-Assessment Estimator'!$E$11:$Z$224,'Pre-Assessment Estimator'!$G$2,FALSE)))</f>
        <v>0</v>
      </c>
      <c r="AI142" s="1082">
        <f>IF(AI240=AD_no,0,IF(VLOOKUP(D142,'Pre-Assessment Estimator'!$E$11:$Z$224,'Pre-Assessment Estimator'!$N$2,FALSE)&gt;AA142,AA142,VLOOKUP(D142,'Pre-Assessment Estimator'!$E$11:$Z$224,'Pre-Assessment Estimator'!$N$2,FALSE)))</f>
        <v>0</v>
      </c>
      <c r="AJ142" s="1082">
        <f>IF(AJ240=AD_no,0,IF(VLOOKUP(D142,'Pre-Assessment Estimator'!$E$11:$Z$224,'Pre-Assessment Estimator'!$U$2,FALSE)&gt;AA142,AA142,VLOOKUP(D142,'Pre-Assessment Estimator'!$E$11:$Z$224,'Pre-Assessment Estimator'!$U$2,FALSE)))</f>
        <v>0</v>
      </c>
      <c r="AL142" s="1210">
        <v>1</v>
      </c>
      <c r="AM142" s="1211">
        <v>1</v>
      </c>
      <c r="AN142" s="1211">
        <v>1</v>
      </c>
      <c r="AO142" s="293">
        <v>1</v>
      </c>
      <c r="AP142" s="294">
        <v>1</v>
      </c>
      <c r="AQ142" s="139"/>
      <c r="AR142" s="1210">
        <v>1</v>
      </c>
      <c r="AS142" s="1211">
        <v>1</v>
      </c>
      <c r="AT142" s="1211">
        <v>1</v>
      </c>
      <c r="AU142" s="293">
        <v>1</v>
      </c>
      <c r="AV142" s="294">
        <v>1</v>
      </c>
      <c r="AX142" s="188"/>
      <c r="AY142" s="189"/>
      <c r="AZ142" s="189"/>
      <c r="BA142" s="183">
        <f>IF($AA142=0,0,IF($D$6=$G$9,AU142,AO142))</f>
        <v>1</v>
      </c>
      <c r="BB142" s="183">
        <f>IF($AA142=0,0,IF($D$6=$G$9,AV142,AP142))</f>
        <v>1</v>
      </c>
      <c r="BC142" s="182">
        <f t="shared" si="334"/>
        <v>3</v>
      </c>
      <c r="BD142" s="164" t="str">
        <f t="shared" si="306"/>
        <v>Very Good</v>
      </c>
      <c r="BE142" s="185"/>
      <c r="BF142" s="182">
        <f t="shared" si="335"/>
        <v>3</v>
      </c>
      <c r="BG142" s="164" t="str">
        <f t="shared" si="308"/>
        <v>Very Good</v>
      </c>
      <c r="BH142" s="185"/>
      <c r="BI142" s="182">
        <f t="shared" si="336"/>
        <v>3</v>
      </c>
      <c r="BJ142" s="164" t="str">
        <f t="shared" si="309"/>
        <v>Very Good</v>
      </c>
      <c r="BK142" s="185"/>
      <c r="BN142" s="167"/>
      <c r="BO142" s="167"/>
      <c r="BP142" s="167" t="str">
        <f t="shared" si="340"/>
        <v/>
      </c>
      <c r="BQ142" s="167">
        <f t="shared" si="196"/>
        <v>9</v>
      </c>
      <c r="BR142" s="167">
        <f t="shared" si="197"/>
        <v>9</v>
      </c>
      <c r="BS142" s="167">
        <f t="shared" si="198"/>
        <v>9</v>
      </c>
      <c r="BV142" s="167"/>
      <c r="BW142" s="167"/>
      <c r="BX142" s="230"/>
      <c r="BY142" s="167"/>
      <c r="BZ142" s="688"/>
      <c r="CA142" s="167"/>
      <c r="CD142" s="99"/>
      <c r="CF142" s="689"/>
    </row>
    <row r="143" spans="1:84" x14ac:dyDescent="0.25">
      <c r="A143" s="96">
        <v>135</v>
      </c>
      <c r="B143" s="96" t="str">
        <f t="shared" si="341"/>
        <v>Mat 05e</v>
      </c>
      <c r="C143" s="188" t="s">
        <v>697</v>
      </c>
      <c r="D143" s="1138" t="s">
        <v>1014</v>
      </c>
      <c r="E143" s="788">
        <v>1</v>
      </c>
      <c r="F143" s="788">
        <v>1</v>
      </c>
      <c r="G143" s="788">
        <v>1</v>
      </c>
      <c r="H143" s="788">
        <v>1</v>
      </c>
      <c r="I143" s="788">
        <v>1</v>
      </c>
      <c r="J143" s="788">
        <v>1</v>
      </c>
      <c r="K143" s="788">
        <v>1</v>
      </c>
      <c r="L143" s="788">
        <v>1</v>
      </c>
      <c r="M143" s="788">
        <v>1</v>
      </c>
      <c r="N143" s="788">
        <v>1</v>
      </c>
      <c r="O143" s="788">
        <v>1</v>
      </c>
      <c r="P143" s="788">
        <v>1</v>
      </c>
      <c r="Q143" s="788">
        <v>1</v>
      </c>
      <c r="R143" s="675"/>
      <c r="S143" s="221">
        <f t="shared" si="296"/>
        <v>1</v>
      </c>
      <c r="T143" s="166"/>
      <c r="U143" s="167"/>
      <c r="V143" s="167"/>
      <c r="W143" s="167"/>
      <c r="X143" s="168"/>
      <c r="Y143" s="168">
        <f>VLOOKUP(B143,'Manuell filtrering og justering'!$A$7:$H$253,'Manuell filtrering og justering'!$H$1,FALSE)</f>
        <v>1</v>
      </c>
      <c r="Z143" s="169">
        <f t="shared" si="298"/>
        <v>0</v>
      </c>
      <c r="AA143" s="170">
        <f>IF($AB$5='Manuell filtrering og justering'!$J$2,Y143,(S143-Z143))</f>
        <v>1</v>
      </c>
      <c r="AC143" s="171">
        <f t="shared" si="299"/>
        <v>8.0952380952380963E-3</v>
      </c>
      <c r="AD143" s="171">
        <f t="shared" ref="AD143" si="342">IF(AA143=0,0,(AC143/AA143)*AH143)</f>
        <v>0</v>
      </c>
      <c r="AE143" s="171">
        <f t="shared" ref="AE143" si="343">IF(AA143=0,0,(AC143/AA143)*AI143)</f>
        <v>0</v>
      </c>
      <c r="AF143" s="171">
        <f t="shared" ref="AF143" si="344">IF(AA143=0,0,(AC143/AA143)*AJ143)</f>
        <v>0</v>
      </c>
      <c r="AH143" s="1082">
        <f>IF(AH240=AD_no,0,IF(VLOOKUP(D143,'Pre-Assessment Estimator'!$E$11:$Z$224,'Pre-Assessment Estimator'!$G$2,FALSE)&gt;AA143,AA143,VLOOKUP(D143,'Pre-Assessment Estimator'!$E$11:$Z$224,'Pre-Assessment Estimator'!$G$2,FALSE)))</f>
        <v>0</v>
      </c>
      <c r="AI143" s="1082">
        <f>IF(AI240=AD_no,0,IF(VLOOKUP(D143,'Pre-Assessment Estimator'!$E$11:$Z$224,'Pre-Assessment Estimator'!$N$2,FALSE)&gt;AA143,AA143,VLOOKUP(D143,'Pre-Assessment Estimator'!$E$11:$Z$224,'Pre-Assessment Estimator'!$N$2,FALSE)))</f>
        <v>0</v>
      </c>
      <c r="AJ143" s="1082">
        <f>IF(AJ240=AD_no,0,IF(VLOOKUP(D143,'Pre-Assessment Estimator'!$E$11:$Z$224,'Pre-Assessment Estimator'!$U$2,FALSE)&gt;AA143,AA143,VLOOKUP(D143,'Pre-Assessment Estimator'!$E$11:$Z$224,'Pre-Assessment Estimator'!$U$2,FALSE)))</f>
        <v>0</v>
      </c>
      <c r="AL143" s="292"/>
      <c r="AM143" s="293"/>
      <c r="AN143" s="293"/>
      <c r="AO143" s="293"/>
      <c r="AP143" s="294"/>
      <c r="AQ143" s="139"/>
      <c r="AR143" s="292"/>
      <c r="AS143" s="293"/>
      <c r="AT143" s="293"/>
      <c r="AU143" s="293"/>
      <c r="AV143" s="294"/>
      <c r="AX143" s="188"/>
      <c r="AY143" s="189"/>
      <c r="AZ143" s="189"/>
      <c r="BA143" s="189"/>
      <c r="BB143" s="728"/>
      <c r="BC143" s="182">
        <f t="shared" ref="BC143" si="345">IF(BB143=0,9,IF(AH143&gt;=BB143,5,IF(AH143&gt;=BA143,4,IF(AH143&gt;=AZ143,3,IF(AH143&gt;=AY143,2,IF(AH143&lt;AX143,0,1))))))</f>
        <v>9</v>
      </c>
      <c r="BD143" s="164" t="str">
        <f t="shared" si="306"/>
        <v>N/A</v>
      </c>
      <c r="BE143" s="185"/>
      <c r="BF143" s="182">
        <f t="shared" ref="BF143" si="346">IF(BB143=0,9,IF(AI143&gt;=BB143,5,IF(AI143&gt;=BA143,4,IF(AI143&gt;=AZ143,3,IF(AI143&gt;=AY143,2,IF(AI143&lt;AX143,0,1))))))</f>
        <v>9</v>
      </c>
      <c r="BG143" s="164" t="str">
        <f t="shared" si="308"/>
        <v>N/A</v>
      </c>
      <c r="BH143" s="185"/>
      <c r="BI143" s="182">
        <f t="shared" ref="BI143" si="347">IF(BB143=0,9,IF(AJ143&gt;=BB143,5,IF(AJ143&gt;=BA143,4,IF(AJ143&gt;=AZ143,3,IF(AJ143&gt;=AY143,2,IF(AJ143&lt;AX143,0,1))))))</f>
        <v>9</v>
      </c>
      <c r="BJ143" s="164" t="str">
        <f t="shared" si="309"/>
        <v>N/A</v>
      </c>
      <c r="BK143" s="185"/>
      <c r="BN143" s="167"/>
      <c r="BO143" s="167"/>
      <c r="BP143" s="167" t="str">
        <f t="shared" si="340"/>
        <v/>
      </c>
      <c r="BQ143" s="167">
        <f t="shared" si="196"/>
        <v>9</v>
      </c>
      <c r="BR143" s="167">
        <f t="shared" si="197"/>
        <v>9</v>
      </c>
      <c r="BS143" s="167">
        <f t="shared" si="198"/>
        <v>9</v>
      </c>
      <c r="BV143" s="167"/>
      <c r="BW143" s="167"/>
      <c r="BX143" s="230"/>
      <c r="BY143" s="167"/>
      <c r="BZ143" s="688"/>
      <c r="CA143" s="167"/>
      <c r="CD143" s="99"/>
      <c r="CF143" s="689"/>
    </row>
    <row r="144" spans="1:84" x14ac:dyDescent="0.25">
      <c r="A144" s="96">
        <v>136</v>
      </c>
      <c r="B144" s="137" t="str">
        <f>C144</f>
        <v>Mat 06</v>
      </c>
      <c r="C144" s="960" t="s">
        <v>178</v>
      </c>
      <c r="D144" s="845" t="s">
        <v>469</v>
      </c>
      <c r="E144" s="947">
        <f>SUM(E145:E147)</f>
        <v>3</v>
      </c>
      <c r="F144" s="947">
        <f t="shared" ref="F144:Q144" si="348">SUM(F145:F147)</f>
        <v>3</v>
      </c>
      <c r="G144" s="947">
        <f t="shared" si="348"/>
        <v>3</v>
      </c>
      <c r="H144" s="947">
        <f t="shared" si="348"/>
        <v>3</v>
      </c>
      <c r="I144" s="947">
        <f t="shared" si="348"/>
        <v>3</v>
      </c>
      <c r="J144" s="947">
        <f t="shared" si="348"/>
        <v>3</v>
      </c>
      <c r="K144" s="947">
        <f t="shared" si="348"/>
        <v>3</v>
      </c>
      <c r="L144" s="947">
        <f t="shared" si="348"/>
        <v>3</v>
      </c>
      <c r="M144" s="947">
        <f t="shared" si="348"/>
        <v>3</v>
      </c>
      <c r="N144" s="947">
        <f t="shared" si="348"/>
        <v>3</v>
      </c>
      <c r="O144" s="947">
        <f t="shared" si="348"/>
        <v>3</v>
      </c>
      <c r="P144" s="947">
        <f t="shared" ref="P144" si="349">SUM(P145:P147)</f>
        <v>3</v>
      </c>
      <c r="Q144" s="947">
        <f t="shared" si="348"/>
        <v>3</v>
      </c>
      <c r="R144" s="137"/>
      <c r="S144" s="977">
        <f t="shared" si="296"/>
        <v>3</v>
      </c>
      <c r="T144" s="222">
        <f>T145</f>
        <v>0</v>
      </c>
      <c r="U144" s="230"/>
      <c r="V144" s="230"/>
      <c r="W144" s="230">
        <f>'Manuell filtrering og justering'!E63</f>
        <v>0</v>
      </c>
      <c r="X144" s="230"/>
      <c r="Y144" s="972">
        <f t="shared" ref="Y144" si="350">SUM(Y145:Y147)</f>
        <v>4</v>
      </c>
      <c r="Z144" s="977">
        <f t="shared" si="298"/>
        <v>0</v>
      </c>
      <c r="AA144" s="1081">
        <f>SUM(AA145:AA147)</f>
        <v>3</v>
      </c>
      <c r="AC144" s="171">
        <f t="shared" si="299"/>
        <v>2.4285714285714289E-2</v>
      </c>
      <c r="AD144" s="935">
        <f>SUM(AD145:AD147)</f>
        <v>0</v>
      </c>
      <c r="AE144" s="935">
        <f t="shared" ref="AE144" si="351">SUM(AE145:AE147)</f>
        <v>0</v>
      </c>
      <c r="AF144" s="935">
        <f t="shared" ref="AF144" si="352">SUM(AF145:AF147)</f>
        <v>0</v>
      </c>
      <c r="AH144" s="972">
        <f t="shared" ref="AH144" si="353">SUM(AH145:AH147)</f>
        <v>0</v>
      </c>
      <c r="AI144" s="972">
        <f t="shared" ref="AI144" si="354">SUM(AI145:AI147)</f>
        <v>0</v>
      </c>
      <c r="AJ144" s="972">
        <f t="shared" ref="AJ144" si="355">SUM(AJ145:AJ147)</f>
        <v>0</v>
      </c>
      <c r="AL144" s="292"/>
      <c r="AM144" s="293"/>
      <c r="AN144" s="293"/>
      <c r="AO144" s="293"/>
      <c r="AP144" s="294"/>
      <c r="AQ144" s="139"/>
      <c r="AR144" s="292"/>
      <c r="AS144" s="293"/>
      <c r="AT144" s="293"/>
      <c r="AU144" s="293"/>
      <c r="AV144" s="294"/>
      <c r="AX144" s="188"/>
      <c r="AY144" s="189"/>
      <c r="AZ144" s="189"/>
      <c r="BA144" s="189"/>
      <c r="BB144" s="728"/>
      <c r="BC144" s="182">
        <f t="shared" si="334"/>
        <v>9</v>
      </c>
      <c r="BD144" s="164" t="str">
        <f t="shared" si="306"/>
        <v>N/A</v>
      </c>
      <c r="BE144" s="185"/>
      <c r="BF144" s="182">
        <f t="shared" si="335"/>
        <v>9</v>
      </c>
      <c r="BG144" s="164" t="str">
        <f t="shared" si="308"/>
        <v>N/A</v>
      </c>
      <c r="BH144" s="185"/>
      <c r="BI144" s="182">
        <f t="shared" si="336"/>
        <v>9</v>
      </c>
      <c r="BJ144" s="164" t="str">
        <f t="shared" si="309"/>
        <v>N/A</v>
      </c>
      <c r="BK144" s="185"/>
      <c r="BN144" s="167"/>
      <c r="BO144" s="167"/>
      <c r="BP144" s="167" t="str">
        <f t="shared" si="340"/>
        <v/>
      </c>
      <c r="BQ144" s="167">
        <f t="shared" si="196"/>
        <v>9</v>
      </c>
      <c r="BR144" s="167">
        <f t="shared" si="197"/>
        <v>9</v>
      </c>
      <c r="BS144" s="167">
        <f t="shared" si="198"/>
        <v>9</v>
      </c>
      <c r="BV144" s="289" t="str">
        <f>C144</f>
        <v>Mat 06</v>
      </c>
      <c r="BW144" s="289">
        <f>IFERROR(VLOOKUP($D144,'Pre-Assessment Estimator'!$E$11:$AB$224,'Pre-Assessment Estimator'!AB$2,FALSE),"")</f>
        <v>0</v>
      </c>
      <c r="BX144" s="289">
        <f>IFERROR(VLOOKUP($D144,'Pre-Assessment Estimator'!$E$11:$AI$224,'Pre-Assessment Estimator'!AI$2,FALSE),"")</f>
        <v>0</v>
      </c>
      <c r="BY144" s="289" t="str">
        <f>IFERROR(VLOOKUP($BW144,$D$291:$G$324,E$289,FALSE),"")</f>
        <v/>
      </c>
      <c r="BZ144" s="289" t="str">
        <f>IFERROR(VLOOKUP($BW144,$D$291:$G$324,F$289,FALSE),"")</f>
        <v/>
      </c>
      <c r="CA144" s="289"/>
      <c r="CB144" s="96" t="str">
        <f>IFERROR(VLOOKUP($BW144,$D$291:$G$324,H$289,FALSE),"")</f>
        <v/>
      </c>
    </row>
    <row r="145" spans="1:80" x14ac:dyDescent="0.25">
      <c r="A145" s="96">
        <v>137</v>
      </c>
      <c r="B145" s="96" t="str">
        <f t="shared" ref="B145:B147" si="356">$C$144&amp;C145</f>
        <v>Mat 06a</v>
      </c>
      <c r="C145" s="961" t="s">
        <v>696</v>
      </c>
      <c r="D145" s="1138" t="s">
        <v>662</v>
      </c>
      <c r="E145" s="788">
        <v>1</v>
      </c>
      <c r="F145" s="788">
        <v>1</v>
      </c>
      <c r="G145" s="788">
        <v>1</v>
      </c>
      <c r="H145" s="788">
        <v>1</v>
      </c>
      <c r="I145" s="788">
        <v>1</v>
      </c>
      <c r="J145" s="788">
        <v>1</v>
      </c>
      <c r="K145" s="788">
        <v>1</v>
      </c>
      <c r="L145" s="788">
        <v>1</v>
      </c>
      <c r="M145" s="788">
        <v>1</v>
      </c>
      <c r="N145" s="788">
        <v>1</v>
      </c>
      <c r="O145" s="788">
        <v>1</v>
      </c>
      <c r="P145" s="788">
        <v>1</v>
      </c>
      <c r="Q145" s="788">
        <v>1</v>
      </c>
      <c r="R145" s="137"/>
      <c r="S145" s="221">
        <f t="shared" si="296"/>
        <v>1</v>
      </c>
      <c r="T145" s="192">
        <f>IF('Assessment Details'!F26=AD_no,Poeng!S145,0)</f>
        <v>0</v>
      </c>
      <c r="U145" s="193"/>
      <c r="V145" s="193"/>
      <c r="W145" s="167"/>
      <c r="X145" s="168"/>
      <c r="Y145" s="168">
        <f>VLOOKUP(B145,'Manuell filtrering og justering'!$A$7:$H$253,'Manuell filtrering og justering'!$H$1,FALSE)</f>
        <v>1</v>
      </c>
      <c r="Z145" s="169">
        <f t="shared" si="298"/>
        <v>0</v>
      </c>
      <c r="AA145" s="170">
        <f>IF($AB$5='Manuell filtrering og justering'!$J$2,Y145,(S145-Z145))</f>
        <v>1</v>
      </c>
      <c r="AC145" s="171">
        <f t="shared" si="299"/>
        <v>8.0952380952380963E-3</v>
      </c>
      <c r="AD145" s="171">
        <f t="shared" si="310"/>
        <v>0</v>
      </c>
      <c r="AE145" s="171">
        <f t="shared" si="311"/>
        <v>0</v>
      </c>
      <c r="AF145" s="171">
        <f t="shared" si="312"/>
        <v>0</v>
      </c>
      <c r="AH145" s="172">
        <f>IF(VLOOKUP(D145,'Pre-Assessment Estimator'!$E$11:$Z$224,'Pre-Assessment Estimator'!$G$2,FALSE)&gt;AA145,AA145,VLOOKUP(D145,'Pre-Assessment Estimator'!$E$11:$Z$224,'Pre-Assessment Estimator'!$G$2,FALSE))</f>
        <v>0</v>
      </c>
      <c r="AI145" s="172">
        <f>IF(VLOOKUP(D145,'Pre-Assessment Estimator'!$E$11:$Z$224,'Pre-Assessment Estimator'!$N$2,FALSE)&gt;AA145,AA145,VLOOKUP(D145,'Pre-Assessment Estimator'!$E$11:$Z$224,'Pre-Assessment Estimator'!$N$2,FALSE))</f>
        <v>0</v>
      </c>
      <c r="AJ145" s="172">
        <f>IF(VLOOKUP(D145,'Pre-Assessment Estimator'!$E$11:$Z$224,'Pre-Assessment Estimator'!$U$2,FALSE)&gt;AA145,AA145,VLOOKUP(D145,'Pre-Assessment Estimator'!$E$11:$Z$224,'Pre-Assessment Estimator'!$U$2,FALSE))</f>
        <v>0</v>
      </c>
      <c r="AL145" s="863">
        <v>1</v>
      </c>
      <c r="AM145" s="864">
        <v>1</v>
      </c>
      <c r="AN145" s="864">
        <v>1</v>
      </c>
      <c r="AO145" s="864">
        <v>1</v>
      </c>
      <c r="AP145" s="856">
        <v>1</v>
      </c>
      <c r="AQ145" s="139"/>
      <c r="AR145" s="863"/>
      <c r="AS145" s="864"/>
      <c r="AT145" s="864"/>
      <c r="AU145" s="864">
        <v>1</v>
      </c>
      <c r="AV145" s="856">
        <v>1</v>
      </c>
      <c r="AX145" s="183">
        <f>IF($AA145=0,0,IF($D$6=$G$9,AR145,AL145))</f>
        <v>1</v>
      </c>
      <c r="AY145" s="183">
        <f>IF($AA145=0,0,IF($D$6=$G$9,AS145,AM145))</f>
        <v>1</v>
      </c>
      <c r="AZ145" s="183">
        <f>IF($AA145=0,0,IF($D$6=$G$9,AT145,AN145))</f>
        <v>1</v>
      </c>
      <c r="BA145" s="183">
        <f>IF($AA145=0,0,IF($D$6=$G$9,AU145,AO145))</f>
        <v>1</v>
      </c>
      <c r="BB145" s="183">
        <f>IF($AA145=0,0,IF($D$6=$G$9,AV145,AP145))</f>
        <v>1</v>
      </c>
      <c r="BC145" s="1019">
        <f>IF('Assessment Details'!F26=AD_no,9,IF(AND(AH145=1,AH249=AD_Yes),5,IF(AH249=AD_Yes,3,0)))</f>
        <v>0</v>
      </c>
      <c r="BD145" s="164" t="str">
        <f t="shared" si="306"/>
        <v>Unclassified</v>
      </c>
      <c r="BE145" s="185"/>
      <c r="BF145" s="1019">
        <f>IF('Assessment Details'!F26=AD_no,9,IF(AND(AI145=1,AI249=AD_Yes),5,IF(AI249=AD_Yes,3,0)))</f>
        <v>0</v>
      </c>
      <c r="BG145" s="164" t="str">
        <f t="shared" si="308"/>
        <v>Unclassified</v>
      </c>
      <c r="BH145" s="185"/>
      <c r="BI145" s="1019">
        <f>IF('Assessment Details'!F26=AD_no,9,IF(AND(AJ145=1,AJ249=AD_Yes),5,IF(AJ249=AD_Yes,3,0)))</f>
        <v>0</v>
      </c>
      <c r="BJ145" s="164" t="str">
        <f t="shared" si="309"/>
        <v>Unclassified</v>
      </c>
      <c r="BK145" s="860"/>
      <c r="BN145" s="167"/>
      <c r="BO145" s="167">
        <v>1</v>
      </c>
      <c r="BP145" s="167">
        <f t="shared" si="340"/>
        <v>1</v>
      </c>
      <c r="BQ145" s="167">
        <f t="shared" si="196"/>
        <v>0</v>
      </c>
      <c r="BR145" s="167">
        <f t="shared" si="197"/>
        <v>0</v>
      </c>
      <c r="BS145" s="167">
        <f t="shared" si="198"/>
        <v>0</v>
      </c>
      <c r="BV145" s="718"/>
      <c r="BW145" s="718"/>
      <c r="BX145" s="718"/>
      <c r="BY145" s="718"/>
      <c r="BZ145" s="718"/>
      <c r="CA145" s="718"/>
    </row>
    <row r="146" spans="1:80" x14ac:dyDescent="0.25">
      <c r="A146" s="96">
        <v>138</v>
      </c>
      <c r="B146" s="96" t="str">
        <f t="shared" si="356"/>
        <v>Mat 06b</v>
      </c>
      <c r="C146" s="961" t="s">
        <v>699</v>
      </c>
      <c r="D146" s="1138" t="s">
        <v>663</v>
      </c>
      <c r="E146" s="788">
        <v>1</v>
      </c>
      <c r="F146" s="788">
        <v>1</v>
      </c>
      <c r="G146" s="788">
        <v>1</v>
      </c>
      <c r="H146" s="788">
        <v>1</v>
      </c>
      <c r="I146" s="788">
        <v>1</v>
      </c>
      <c r="J146" s="788">
        <v>1</v>
      </c>
      <c r="K146" s="788">
        <v>1</v>
      </c>
      <c r="L146" s="788">
        <v>1</v>
      </c>
      <c r="M146" s="788">
        <v>1</v>
      </c>
      <c r="N146" s="788">
        <v>1</v>
      </c>
      <c r="O146" s="788">
        <v>1</v>
      </c>
      <c r="P146" s="788">
        <v>1</v>
      </c>
      <c r="Q146" s="788">
        <v>1</v>
      </c>
      <c r="R146" s="137"/>
      <c r="S146" s="221">
        <f t="shared" si="296"/>
        <v>1</v>
      </c>
      <c r="T146" s="192"/>
      <c r="U146" s="193"/>
      <c r="V146" s="193"/>
      <c r="W146" s="167"/>
      <c r="X146" s="168"/>
      <c r="Y146" s="168">
        <f>VLOOKUP(B146,'Manuell filtrering og justering'!$A$7:$H$253,'Manuell filtrering og justering'!$H$1,FALSE)</f>
        <v>1</v>
      </c>
      <c r="Z146" s="169">
        <f t="shared" si="298"/>
        <v>0</v>
      </c>
      <c r="AA146" s="170">
        <f>IF($AB$5='Manuell filtrering og justering'!$J$2,Y146,(S146-Z146))</f>
        <v>1</v>
      </c>
      <c r="AC146" s="171">
        <f t="shared" si="299"/>
        <v>8.0952380952380963E-3</v>
      </c>
      <c r="AD146" s="171">
        <f t="shared" si="310"/>
        <v>0</v>
      </c>
      <c r="AE146" s="171">
        <f t="shared" si="311"/>
        <v>0</v>
      </c>
      <c r="AF146" s="171">
        <f t="shared" si="312"/>
        <v>0</v>
      </c>
      <c r="AH146" s="172">
        <f>IF(VLOOKUP(D146,'Pre-Assessment Estimator'!$E$11:$Z$224,'Pre-Assessment Estimator'!$G$2,FALSE)&gt;AA146,AA146,VLOOKUP(D146,'Pre-Assessment Estimator'!$E$11:$Z$224,'Pre-Assessment Estimator'!$G$2,FALSE))</f>
        <v>0</v>
      </c>
      <c r="AI146" s="172">
        <f>IF(VLOOKUP(D146,'Pre-Assessment Estimator'!$E$11:$Z$224,'Pre-Assessment Estimator'!$N$2,FALSE)&gt;AA146,AA146,VLOOKUP(D146,'Pre-Assessment Estimator'!$E$11:$Z$224,'Pre-Assessment Estimator'!$N$2,FALSE))</f>
        <v>0</v>
      </c>
      <c r="AJ146" s="172">
        <f>IF(VLOOKUP(D146,'Pre-Assessment Estimator'!$E$11:$Z$224,'Pre-Assessment Estimator'!$U$2,FALSE)&gt;AA146,AA146,VLOOKUP(D146,'Pre-Assessment Estimator'!$E$11:$Z$224,'Pre-Assessment Estimator'!$U$2,FALSE))</f>
        <v>0</v>
      </c>
      <c r="AL146" s="863"/>
      <c r="AM146" s="864"/>
      <c r="AN146" s="864"/>
      <c r="AO146" s="864"/>
      <c r="AP146" s="856"/>
      <c r="AQ146" s="139"/>
      <c r="AR146" s="863"/>
      <c r="AS146" s="864"/>
      <c r="AT146" s="864"/>
      <c r="AU146" s="864"/>
      <c r="AV146" s="856"/>
      <c r="AX146" s="742"/>
      <c r="AY146" s="744"/>
      <c r="AZ146" s="744"/>
      <c r="BA146" s="744"/>
      <c r="BB146" s="869"/>
      <c r="BC146" s="182">
        <f t="shared" si="334"/>
        <v>9</v>
      </c>
      <c r="BD146" s="164" t="str">
        <f t="shared" si="306"/>
        <v>N/A</v>
      </c>
      <c r="BE146" s="185"/>
      <c r="BF146" s="182">
        <f t="shared" si="335"/>
        <v>9</v>
      </c>
      <c r="BG146" s="164" t="str">
        <f t="shared" si="308"/>
        <v>N/A</v>
      </c>
      <c r="BH146" s="185"/>
      <c r="BI146" s="182">
        <f t="shared" si="336"/>
        <v>9</v>
      </c>
      <c r="BJ146" s="164" t="str">
        <f t="shared" si="309"/>
        <v>N/A</v>
      </c>
      <c r="BK146" s="860"/>
      <c r="BN146" s="167"/>
      <c r="BO146" s="167">
        <v>1</v>
      </c>
      <c r="BP146" s="167">
        <f t="shared" si="340"/>
        <v>1</v>
      </c>
      <c r="BQ146" s="167">
        <f t="shared" si="196"/>
        <v>0</v>
      </c>
      <c r="BR146" s="167">
        <f t="shared" si="197"/>
        <v>0</v>
      </c>
      <c r="BS146" s="167">
        <f t="shared" si="198"/>
        <v>0</v>
      </c>
      <c r="BV146" s="718"/>
      <c r="BW146" s="718"/>
      <c r="BX146" s="718"/>
      <c r="BY146" s="718"/>
      <c r="BZ146" s="718"/>
      <c r="CA146" s="718"/>
    </row>
    <row r="147" spans="1:80" x14ac:dyDescent="0.25">
      <c r="A147" s="96">
        <v>139</v>
      </c>
      <c r="B147" s="96" t="str">
        <f t="shared" si="356"/>
        <v>Mat 06c</v>
      </c>
      <c r="C147" s="961" t="s">
        <v>700</v>
      </c>
      <c r="D147" s="1138" t="s">
        <v>664</v>
      </c>
      <c r="E147" s="788">
        <v>1</v>
      </c>
      <c r="F147" s="788">
        <v>1</v>
      </c>
      <c r="G147" s="788">
        <v>1</v>
      </c>
      <c r="H147" s="788">
        <v>1</v>
      </c>
      <c r="I147" s="788">
        <v>1</v>
      </c>
      <c r="J147" s="788">
        <v>1</v>
      </c>
      <c r="K147" s="788">
        <v>1</v>
      </c>
      <c r="L147" s="788">
        <v>1</v>
      </c>
      <c r="M147" s="788">
        <v>1</v>
      </c>
      <c r="N147" s="788">
        <v>1</v>
      </c>
      <c r="O147" s="788">
        <v>1</v>
      </c>
      <c r="P147" s="788">
        <v>1</v>
      </c>
      <c r="Q147" s="788">
        <v>1</v>
      </c>
      <c r="R147" s="137"/>
      <c r="S147" s="221">
        <f t="shared" si="296"/>
        <v>1</v>
      </c>
      <c r="T147" s="192"/>
      <c r="U147" s="193"/>
      <c r="V147" s="193"/>
      <c r="W147" s="167"/>
      <c r="X147" s="168"/>
      <c r="Y147" s="168">
        <f>VLOOKUP(B147,'Manuell filtrering og justering'!$A$7:$H$253,'Manuell filtrering og justering'!$H$1,FALSE)</f>
        <v>2</v>
      </c>
      <c r="Z147" s="169">
        <f t="shared" si="298"/>
        <v>0</v>
      </c>
      <c r="AA147" s="170">
        <f>IF($AB$5='Manuell filtrering og justering'!$J$2,Y147,(S147-Z147))</f>
        <v>1</v>
      </c>
      <c r="AC147" s="171">
        <f t="shared" si="299"/>
        <v>8.0952380952380963E-3</v>
      </c>
      <c r="AD147" s="171">
        <f t="shared" si="310"/>
        <v>0</v>
      </c>
      <c r="AE147" s="171">
        <f t="shared" si="311"/>
        <v>0</v>
      </c>
      <c r="AF147" s="171">
        <f t="shared" si="312"/>
        <v>0</v>
      </c>
      <c r="AH147" s="172">
        <f>IF(VLOOKUP(D147,'Pre-Assessment Estimator'!$E$11:$Z$224,'Pre-Assessment Estimator'!$G$2,FALSE)&gt;AA147,AA147,VLOOKUP(D147,'Pre-Assessment Estimator'!$E$11:$Z$224,'Pre-Assessment Estimator'!$G$2,FALSE))</f>
        <v>0</v>
      </c>
      <c r="AI147" s="172">
        <f>IF(VLOOKUP(D147,'Pre-Assessment Estimator'!$E$11:$Z$224,'Pre-Assessment Estimator'!$N$2,FALSE)&gt;AA147,AA147,VLOOKUP(D147,'Pre-Assessment Estimator'!$E$11:$Z$224,'Pre-Assessment Estimator'!$N$2,FALSE))</f>
        <v>0</v>
      </c>
      <c r="AJ147" s="172">
        <f>IF(VLOOKUP(D147,'Pre-Assessment Estimator'!$E$11:$Z$224,'Pre-Assessment Estimator'!$U$2,FALSE)&gt;AA147,AA147,VLOOKUP(D147,'Pre-Assessment Estimator'!$E$11:$Z$224,'Pre-Assessment Estimator'!$U$2,FALSE))</f>
        <v>0</v>
      </c>
      <c r="AL147" s="863"/>
      <c r="AM147" s="864"/>
      <c r="AN147" s="864"/>
      <c r="AO147" s="864"/>
      <c r="AP147" s="856"/>
      <c r="AQ147" s="139"/>
      <c r="AR147" s="863"/>
      <c r="AS147" s="864"/>
      <c r="AT147" s="864"/>
      <c r="AU147" s="864"/>
      <c r="AV147" s="856"/>
      <c r="AX147" s="742"/>
      <c r="AY147" s="744"/>
      <c r="AZ147" s="744"/>
      <c r="BA147" s="744"/>
      <c r="BB147" s="869"/>
      <c r="BC147" s="182">
        <f t="shared" si="334"/>
        <v>9</v>
      </c>
      <c r="BD147" s="164" t="str">
        <f t="shared" si="306"/>
        <v>N/A</v>
      </c>
      <c r="BE147" s="185"/>
      <c r="BF147" s="182">
        <f t="shared" si="335"/>
        <v>9</v>
      </c>
      <c r="BG147" s="164" t="str">
        <f t="shared" si="308"/>
        <v>N/A</v>
      </c>
      <c r="BH147" s="185"/>
      <c r="BI147" s="182">
        <f t="shared" si="336"/>
        <v>9</v>
      </c>
      <c r="BJ147" s="164" t="str">
        <f t="shared" si="309"/>
        <v>N/A</v>
      </c>
      <c r="BK147" s="860"/>
      <c r="BN147" s="167"/>
      <c r="BO147" s="167">
        <v>1</v>
      </c>
      <c r="BP147" s="167">
        <f t="shared" si="340"/>
        <v>1</v>
      </c>
      <c r="BQ147" s="167">
        <f t="shared" si="196"/>
        <v>0</v>
      </c>
      <c r="BR147" s="167">
        <f t="shared" si="197"/>
        <v>0</v>
      </c>
      <c r="BS147" s="167">
        <f t="shared" si="198"/>
        <v>0</v>
      </c>
      <c r="BV147" s="718"/>
      <c r="BW147" s="718"/>
      <c r="BX147" s="718"/>
      <c r="BY147" s="718"/>
      <c r="BZ147" s="718"/>
      <c r="CA147" s="718"/>
    </row>
    <row r="148" spans="1:80" x14ac:dyDescent="0.25">
      <c r="A148" s="96">
        <v>140</v>
      </c>
      <c r="B148" s="137" t="str">
        <f>C148</f>
        <v>Mat 07</v>
      </c>
      <c r="C148" s="960" t="s">
        <v>481</v>
      </c>
      <c r="D148" s="845" t="s">
        <v>1032</v>
      </c>
      <c r="E148" s="947">
        <f>SUM(E149:E151)</f>
        <v>3</v>
      </c>
      <c r="F148" s="947">
        <f t="shared" ref="F148:Q148" si="357">SUM(F149:F151)</f>
        <v>3</v>
      </c>
      <c r="G148" s="947">
        <f t="shared" si="357"/>
        <v>3</v>
      </c>
      <c r="H148" s="947">
        <f t="shared" si="357"/>
        <v>3</v>
      </c>
      <c r="I148" s="947">
        <f t="shared" si="357"/>
        <v>3</v>
      </c>
      <c r="J148" s="947">
        <f t="shared" si="357"/>
        <v>3</v>
      </c>
      <c r="K148" s="947">
        <f t="shared" si="357"/>
        <v>3</v>
      </c>
      <c r="L148" s="947">
        <f t="shared" si="357"/>
        <v>3</v>
      </c>
      <c r="M148" s="947">
        <f t="shared" si="357"/>
        <v>3</v>
      </c>
      <c r="N148" s="947">
        <f t="shared" si="357"/>
        <v>3</v>
      </c>
      <c r="O148" s="947">
        <f t="shared" si="357"/>
        <v>3</v>
      </c>
      <c r="P148" s="947">
        <f t="shared" ref="P148" si="358">SUM(P149:P151)</f>
        <v>3</v>
      </c>
      <c r="Q148" s="947">
        <f t="shared" si="357"/>
        <v>3</v>
      </c>
      <c r="S148" s="977">
        <f t="shared" si="296"/>
        <v>3</v>
      </c>
      <c r="T148" s="739"/>
      <c r="U148" s="978"/>
      <c r="V148" s="978"/>
      <c r="W148" s="230">
        <f>'Manuell filtrering og justering'!E64</f>
        <v>0</v>
      </c>
      <c r="X148" s="230"/>
      <c r="Y148" s="972">
        <f t="shared" ref="Y148" si="359">SUM(Y149:Y151)</f>
        <v>4</v>
      </c>
      <c r="Z148" s="977">
        <f t="shared" si="298"/>
        <v>0</v>
      </c>
      <c r="AA148" s="1081">
        <f>SUM(AA149:AA151)</f>
        <v>3</v>
      </c>
      <c r="AC148" s="171">
        <f t="shared" si="299"/>
        <v>2.4285714285714289E-2</v>
      </c>
      <c r="AD148" s="935">
        <f>SUM(AD149:AD151)</f>
        <v>0</v>
      </c>
      <c r="AE148" s="935">
        <f t="shared" ref="AE148" si="360">SUM(AE149:AE151)</f>
        <v>0</v>
      </c>
      <c r="AF148" s="935">
        <f t="shared" ref="AF148" si="361">SUM(AF149:AF151)</f>
        <v>0</v>
      </c>
      <c r="AH148" s="972">
        <f t="shared" ref="AH148" si="362">SUM(AH149:AH151)</f>
        <v>0</v>
      </c>
      <c r="AI148" s="972">
        <f t="shared" ref="AI148" si="363">SUM(AI149:AI151)</f>
        <v>0</v>
      </c>
      <c r="AJ148" s="972">
        <f t="shared" ref="AJ148" si="364">SUM(AJ149:AJ151)</f>
        <v>0</v>
      </c>
      <c r="AL148" s="863"/>
      <c r="AM148" s="864"/>
      <c r="AN148" s="864"/>
      <c r="AO148" s="864"/>
      <c r="AP148" s="856"/>
      <c r="AQ148" s="139"/>
      <c r="AR148" s="863"/>
      <c r="AS148" s="864"/>
      <c r="AT148" s="864"/>
      <c r="AU148" s="864"/>
      <c r="AV148" s="856"/>
      <c r="AX148" s="742"/>
      <c r="AY148" s="744"/>
      <c r="AZ148" s="744"/>
      <c r="BA148" s="744"/>
      <c r="BB148" s="728"/>
      <c r="BC148" s="182">
        <f t="shared" ref="BC148:BC151" si="365">IF(BB148=0,9,IF(AH148&gt;=BB148,5,IF(AH148&gt;=BA148,4,IF(AH148&gt;=AZ148,3,IF(AH148&gt;=AY148,2,IF(AH148&lt;AX148,0,1))))))</f>
        <v>9</v>
      </c>
      <c r="BD148" s="164" t="str">
        <f t="shared" si="306"/>
        <v>N/A</v>
      </c>
      <c r="BE148" s="185"/>
      <c r="BF148" s="182">
        <f t="shared" ref="BF148:BF151" si="366">IF(BB148=0,9,IF(AI148&gt;=BB148,5,IF(AI148&gt;=BA148,4,IF(AI148&gt;=AZ148,3,IF(AI148&gt;=AY148,2,IF(AI148&lt;AX148,0,1))))))</f>
        <v>9</v>
      </c>
      <c r="BG148" s="164" t="str">
        <f t="shared" si="308"/>
        <v>N/A</v>
      </c>
      <c r="BH148" s="185"/>
      <c r="BI148" s="182">
        <f t="shared" ref="BI148:BI151" si="367">IF(BB148=0,9,IF(AJ148&gt;=BB148,5,IF(AJ148&gt;=BA148,4,IF(AJ148&gt;=AZ148,3,IF(AJ148&gt;=AY148,2,IF(AJ148&lt;AX148,0,1))))))</f>
        <v>9</v>
      </c>
      <c r="BJ148" s="164" t="str">
        <f t="shared" si="309"/>
        <v>N/A</v>
      </c>
      <c r="BK148" s="860"/>
      <c r="BN148" s="167"/>
      <c r="BO148" s="167"/>
      <c r="BP148" s="167" t="str">
        <f t="shared" si="340"/>
        <v/>
      </c>
      <c r="BQ148" s="167">
        <f t="shared" si="196"/>
        <v>9</v>
      </c>
      <c r="BR148" s="167">
        <f t="shared" si="197"/>
        <v>9</v>
      </c>
      <c r="BS148" s="167">
        <f t="shared" si="198"/>
        <v>9</v>
      </c>
      <c r="BV148" s="718" t="str">
        <f>C148</f>
        <v>Mat 07</v>
      </c>
      <c r="BW148" s="718"/>
      <c r="BX148" s="718"/>
      <c r="BY148" s="718"/>
      <c r="BZ148" s="718"/>
      <c r="CA148" s="718"/>
    </row>
    <row r="149" spans="1:80" x14ac:dyDescent="0.25">
      <c r="A149" s="96">
        <v>141</v>
      </c>
      <c r="B149" s="96" t="str">
        <f t="shared" ref="B149:B151" si="368">$C$148&amp;C149</f>
        <v>Mat 07a</v>
      </c>
      <c r="C149" s="961" t="s">
        <v>696</v>
      </c>
      <c r="D149" s="1138" t="s">
        <v>1033</v>
      </c>
      <c r="E149" s="788">
        <v>1</v>
      </c>
      <c r="F149" s="788">
        <v>1</v>
      </c>
      <c r="G149" s="788">
        <v>1</v>
      </c>
      <c r="H149" s="788">
        <v>1</v>
      </c>
      <c r="I149" s="788">
        <v>1</v>
      </c>
      <c r="J149" s="788">
        <v>1</v>
      </c>
      <c r="K149" s="788">
        <v>1</v>
      </c>
      <c r="L149" s="788">
        <v>1</v>
      </c>
      <c r="M149" s="788">
        <v>1</v>
      </c>
      <c r="N149" s="788">
        <v>1</v>
      </c>
      <c r="O149" s="788">
        <v>1</v>
      </c>
      <c r="P149" s="788">
        <v>1</v>
      </c>
      <c r="Q149" s="788">
        <v>1</v>
      </c>
      <c r="S149" s="221">
        <f t="shared" si="296"/>
        <v>1</v>
      </c>
      <c r="T149" s="192"/>
      <c r="U149" s="193"/>
      <c r="V149" s="193"/>
      <c r="W149" s="193"/>
      <c r="X149" s="1181"/>
      <c r="Y149" s="168">
        <f>VLOOKUP(B149,'Manuell filtrering og justering'!$A$7:$H$253,'Manuell filtrering og justering'!$H$1,FALSE)</f>
        <v>1</v>
      </c>
      <c r="Z149" s="169">
        <f t="shared" si="298"/>
        <v>0</v>
      </c>
      <c r="AA149" s="170">
        <f>IF($AB$5='Manuell filtrering og justering'!$J$2,Y149,(S149-Z149))</f>
        <v>1</v>
      </c>
      <c r="AC149" s="171">
        <f t="shared" si="299"/>
        <v>8.0952380952380963E-3</v>
      </c>
      <c r="AD149" s="171">
        <f t="shared" si="310"/>
        <v>0</v>
      </c>
      <c r="AE149" s="171">
        <f t="shared" si="311"/>
        <v>0</v>
      </c>
      <c r="AF149" s="171">
        <f t="shared" si="312"/>
        <v>0</v>
      </c>
      <c r="AH149" s="172">
        <f>IF(VLOOKUP(D149,'Pre-Assessment Estimator'!$E$11:$Z$224,'Pre-Assessment Estimator'!$G$2,FALSE)&gt;AA149,AA149,VLOOKUP(D149,'Pre-Assessment Estimator'!$E$11:$Z$224,'Pre-Assessment Estimator'!$G$2,FALSE))</f>
        <v>0</v>
      </c>
      <c r="AI149" s="172">
        <f>IF(VLOOKUP(D149,'Pre-Assessment Estimator'!$E$11:$Z$224,'Pre-Assessment Estimator'!$N$2,FALSE)&gt;AA149,AA149,VLOOKUP(D149,'Pre-Assessment Estimator'!$E$11:$Z$224,'Pre-Assessment Estimator'!$N$2,FALSE))</f>
        <v>0</v>
      </c>
      <c r="AJ149" s="172">
        <f>IF(VLOOKUP(D149,'Pre-Assessment Estimator'!$E$11:$Z$224,'Pre-Assessment Estimator'!$U$2,FALSE)&gt;AA149,AA149,VLOOKUP(D149,'Pre-Assessment Estimator'!$E$11:$Z$224,'Pre-Assessment Estimator'!$U$2,FALSE))</f>
        <v>0</v>
      </c>
      <c r="AL149" s="863"/>
      <c r="AM149" s="864"/>
      <c r="AN149" s="864"/>
      <c r="AO149" s="864"/>
      <c r="AP149" s="856"/>
      <c r="AQ149" s="139"/>
      <c r="AR149" s="863"/>
      <c r="AS149" s="864"/>
      <c r="AT149" s="864"/>
      <c r="AU149" s="864"/>
      <c r="AV149" s="856"/>
      <c r="AX149" s="742"/>
      <c r="AY149" s="744"/>
      <c r="AZ149" s="744"/>
      <c r="BA149" s="744"/>
      <c r="BB149" s="869"/>
      <c r="BC149" s="182">
        <f t="shared" si="365"/>
        <v>9</v>
      </c>
      <c r="BD149" s="164" t="str">
        <f t="shared" si="306"/>
        <v>N/A</v>
      </c>
      <c r="BE149" s="185"/>
      <c r="BF149" s="182">
        <f t="shared" si="366"/>
        <v>9</v>
      </c>
      <c r="BG149" s="164" t="str">
        <f t="shared" si="308"/>
        <v>N/A</v>
      </c>
      <c r="BH149" s="185"/>
      <c r="BI149" s="182">
        <f t="shared" si="367"/>
        <v>9</v>
      </c>
      <c r="BJ149" s="164" t="str">
        <f t="shared" si="309"/>
        <v>N/A</v>
      </c>
      <c r="BK149" s="860"/>
      <c r="BN149" s="167"/>
      <c r="BO149" s="167">
        <v>1</v>
      </c>
      <c r="BP149" s="167">
        <f t="shared" si="340"/>
        <v>1</v>
      </c>
      <c r="BQ149" s="167">
        <f t="shared" si="196"/>
        <v>0</v>
      </c>
      <c r="BR149" s="167">
        <f t="shared" si="197"/>
        <v>0</v>
      </c>
      <c r="BS149" s="167">
        <f t="shared" si="198"/>
        <v>0</v>
      </c>
      <c r="BV149" s="718"/>
      <c r="BW149" s="718"/>
      <c r="BX149" s="718"/>
      <c r="BY149" s="718"/>
      <c r="BZ149" s="718"/>
      <c r="CA149" s="718"/>
    </row>
    <row r="150" spans="1:80" x14ac:dyDescent="0.25">
      <c r="A150" s="96">
        <v>142</v>
      </c>
      <c r="B150" s="96" t="str">
        <f t="shared" si="368"/>
        <v>Mat 07b</v>
      </c>
      <c r="C150" s="961" t="s">
        <v>699</v>
      </c>
      <c r="D150" s="1138" t="s">
        <v>666</v>
      </c>
      <c r="E150" s="788">
        <v>1</v>
      </c>
      <c r="F150" s="788">
        <v>1</v>
      </c>
      <c r="G150" s="788">
        <v>1</v>
      </c>
      <c r="H150" s="788">
        <v>1</v>
      </c>
      <c r="I150" s="788">
        <v>1</v>
      </c>
      <c r="J150" s="788">
        <v>1</v>
      </c>
      <c r="K150" s="788">
        <v>1</v>
      </c>
      <c r="L150" s="788">
        <v>1</v>
      </c>
      <c r="M150" s="788">
        <v>1</v>
      </c>
      <c r="N150" s="788">
        <v>1</v>
      </c>
      <c r="O150" s="788">
        <v>1</v>
      </c>
      <c r="P150" s="788">
        <v>1</v>
      </c>
      <c r="Q150" s="788">
        <v>1</v>
      </c>
      <c r="S150" s="221">
        <f t="shared" si="296"/>
        <v>1</v>
      </c>
      <c r="T150" s="192"/>
      <c r="U150" s="193"/>
      <c r="V150" s="193"/>
      <c r="W150" s="193"/>
      <c r="X150" s="1181"/>
      <c r="Y150" s="168">
        <f>VLOOKUP(B150,'Manuell filtrering og justering'!$A$7:$H$253,'Manuell filtrering og justering'!$H$1,FALSE)</f>
        <v>1</v>
      </c>
      <c r="Z150" s="169">
        <f t="shared" si="298"/>
        <v>0</v>
      </c>
      <c r="AA150" s="170">
        <f>IF($AB$5='Manuell filtrering og justering'!$J$2,Y150,(S150-Z150))</f>
        <v>1</v>
      </c>
      <c r="AC150" s="171">
        <f t="shared" si="299"/>
        <v>8.0952380952380963E-3</v>
      </c>
      <c r="AD150" s="171">
        <f t="shared" si="310"/>
        <v>0</v>
      </c>
      <c r="AE150" s="171">
        <f t="shared" si="311"/>
        <v>0</v>
      </c>
      <c r="AF150" s="171">
        <f t="shared" si="312"/>
        <v>0</v>
      </c>
      <c r="AH150" s="172">
        <f>IF(VLOOKUP(D150,'Pre-Assessment Estimator'!$E$11:$Z$224,'Pre-Assessment Estimator'!$G$2,FALSE)&gt;AA150,AA150,VLOOKUP(D150,'Pre-Assessment Estimator'!$E$11:$Z$224,'Pre-Assessment Estimator'!$G$2,FALSE))</f>
        <v>0</v>
      </c>
      <c r="AI150" s="172">
        <f>IF(VLOOKUP(D150,'Pre-Assessment Estimator'!$E$11:$Z$224,'Pre-Assessment Estimator'!$N$2,FALSE)&gt;AA150,AA150,VLOOKUP(D150,'Pre-Assessment Estimator'!$E$11:$Z$224,'Pre-Assessment Estimator'!$N$2,FALSE))</f>
        <v>0</v>
      </c>
      <c r="AJ150" s="172">
        <f>IF(VLOOKUP(D150,'Pre-Assessment Estimator'!$E$11:$Z$224,'Pre-Assessment Estimator'!$U$2,FALSE)&gt;AA150,AA150,VLOOKUP(D150,'Pre-Assessment Estimator'!$E$11:$Z$224,'Pre-Assessment Estimator'!$U$2,FALSE))</f>
        <v>0</v>
      </c>
      <c r="AL150" s="863"/>
      <c r="AM150" s="864"/>
      <c r="AN150" s="864"/>
      <c r="AO150" s="864">
        <v>1</v>
      </c>
      <c r="AP150" s="856">
        <v>1</v>
      </c>
      <c r="AQ150" s="139"/>
      <c r="AR150" s="863"/>
      <c r="AS150" s="864"/>
      <c r="AT150" s="864"/>
      <c r="AU150" s="864">
        <v>1</v>
      </c>
      <c r="AV150" s="856">
        <v>1</v>
      </c>
      <c r="AX150" s="742"/>
      <c r="AY150" s="744"/>
      <c r="AZ150" s="744"/>
      <c r="BA150" s="183">
        <f>IF($AA150=0,0,IF($D$6=$G$9,AU150,AO150))</f>
        <v>1</v>
      </c>
      <c r="BB150" s="183">
        <f>IF($AA150=0,0,IF($D$6=$G$9,AV150,AP150))</f>
        <v>1</v>
      </c>
      <c r="BC150" s="182">
        <f t="shared" si="365"/>
        <v>3</v>
      </c>
      <c r="BD150" s="164" t="str">
        <f t="shared" si="306"/>
        <v>Very Good</v>
      </c>
      <c r="BE150" s="185"/>
      <c r="BF150" s="182">
        <f t="shared" si="366"/>
        <v>3</v>
      </c>
      <c r="BG150" s="164" t="str">
        <f t="shared" si="308"/>
        <v>Very Good</v>
      </c>
      <c r="BH150" s="185"/>
      <c r="BI150" s="182">
        <f t="shared" si="367"/>
        <v>3</v>
      </c>
      <c r="BJ150" s="164" t="str">
        <f t="shared" si="309"/>
        <v>Very Good</v>
      </c>
      <c r="BK150" s="860"/>
      <c r="BN150" s="167"/>
      <c r="BO150" s="167">
        <v>1</v>
      </c>
      <c r="BP150" s="167">
        <f t="shared" si="340"/>
        <v>1</v>
      </c>
      <c r="BQ150" s="167">
        <f t="shared" si="196"/>
        <v>0</v>
      </c>
      <c r="BR150" s="167">
        <f t="shared" si="197"/>
        <v>0</v>
      </c>
      <c r="BS150" s="167">
        <f t="shared" si="198"/>
        <v>0</v>
      </c>
      <c r="BV150" s="718"/>
      <c r="BW150" s="718"/>
      <c r="BX150" s="718"/>
      <c r="BY150" s="718"/>
      <c r="BZ150" s="718"/>
      <c r="CA150" s="718"/>
    </row>
    <row r="151" spans="1:80" ht="15.75" thickBot="1" x14ac:dyDescent="0.3">
      <c r="A151" s="96">
        <v>143</v>
      </c>
      <c r="B151" s="96" t="str">
        <f t="shared" si="368"/>
        <v>Mat 07c</v>
      </c>
      <c r="C151" s="962" t="s">
        <v>700</v>
      </c>
      <c r="D151" s="1140" t="s">
        <v>667</v>
      </c>
      <c r="E151" s="958">
        <v>1</v>
      </c>
      <c r="F151" s="958">
        <v>1</v>
      </c>
      <c r="G151" s="958">
        <v>1</v>
      </c>
      <c r="H151" s="958">
        <v>1</v>
      </c>
      <c r="I151" s="958">
        <v>1</v>
      </c>
      <c r="J151" s="958">
        <v>1</v>
      </c>
      <c r="K151" s="958">
        <v>1</v>
      </c>
      <c r="L151" s="958">
        <v>1</v>
      </c>
      <c r="M151" s="958">
        <v>1</v>
      </c>
      <c r="N151" s="958">
        <v>1</v>
      </c>
      <c r="O151" s="958">
        <v>1</v>
      </c>
      <c r="P151" s="958">
        <v>1</v>
      </c>
      <c r="Q151" s="958">
        <v>1</v>
      </c>
      <c r="S151" s="221">
        <f t="shared" si="296"/>
        <v>1</v>
      </c>
      <c r="T151" s="192"/>
      <c r="U151" s="193"/>
      <c r="V151" s="193"/>
      <c r="W151" s="193"/>
      <c r="X151" s="1181"/>
      <c r="Y151" s="168">
        <f>VLOOKUP(B151,'Manuell filtrering og justering'!$A$7:$H$253,'Manuell filtrering og justering'!$H$1,FALSE)</f>
        <v>2</v>
      </c>
      <c r="Z151" s="169">
        <f t="shared" si="298"/>
        <v>0</v>
      </c>
      <c r="AA151" s="170">
        <f>IF($AB$5='Manuell filtrering og justering'!$J$2,Y151,(S151-Z151))</f>
        <v>1</v>
      </c>
      <c r="AC151" s="171">
        <f t="shared" si="299"/>
        <v>8.0952380952380963E-3</v>
      </c>
      <c r="AD151" s="171">
        <f t="shared" si="310"/>
        <v>0</v>
      </c>
      <c r="AE151" s="171">
        <f t="shared" si="311"/>
        <v>0</v>
      </c>
      <c r="AF151" s="171">
        <f t="shared" si="312"/>
        <v>0</v>
      </c>
      <c r="AH151" s="172">
        <f>IF(VLOOKUP(D151,'Pre-Assessment Estimator'!$E$11:$Z$224,'Pre-Assessment Estimator'!$G$2,FALSE)&gt;AA151,AA151,VLOOKUP(D151,'Pre-Assessment Estimator'!$E$11:$Z$224,'Pre-Assessment Estimator'!$G$2,FALSE))</f>
        <v>0</v>
      </c>
      <c r="AI151" s="172">
        <f>IF(VLOOKUP(D151,'Pre-Assessment Estimator'!$E$11:$Z$224,'Pre-Assessment Estimator'!$N$2,FALSE)&gt;AA151,AA151,VLOOKUP(D151,'Pre-Assessment Estimator'!$E$11:$Z$224,'Pre-Assessment Estimator'!$N$2,FALSE))</f>
        <v>0</v>
      </c>
      <c r="AJ151" s="172">
        <f>IF(VLOOKUP(D151,'Pre-Assessment Estimator'!$E$11:$Z$224,'Pre-Assessment Estimator'!$U$2,FALSE)&gt;AA151,AA151,VLOOKUP(D151,'Pre-Assessment Estimator'!$E$11:$Z$224,'Pre-Assessment Estimator'!$U$2,FALSE))</f>
        <v>0</v>
      </c>
      <c r="AL151" s="863"/>
      <c r="AM151" s="864"/>
      <c r="AN151" s="864"/>
      <c r="AO151" s="864">
        <v>1</v>
      </c>
      <c r="AP151" s="856">
        <v>1</v>
      </c>
      <c r="AQ151" s="139"/>
      <c r="AR151" s="863"/>
      <c r="AS151" s="864"/>
      <c r="AT151" s="864"/>
      <c r="AU151" s="864">
        <v>1</v>
      </c>
      <c r="AV151" s="856">
        <v>1</v>
      </c>
      <c r="AX151" s="742"/>
      <c r="AY151" s="744"/>
      <c r="AZ151" s="744"/>
      <c r="BA151" s="183">
        <f>IF($AA151=0,0,IF($D$6=$G$9,AU151,AO151))</f>
        <v>1</v>
      </c>
      <c r="BB151" s="183">
        <f>IF($AA151=0,0,IF($D$6=$G$9,AV151,AP151))</f>
        <v>1</v>
      </c>
      <c r="BC151" s="182">
        <f t="shared" si="365"/>
        <v>3</v>
      </c>
      <c r="BD151" s="164" t="str">
        <f t="shared" si="306"/>
        <v>Very Good</v>
      </c>
      <c r="BE151" s="185"/>
      <c r="BF151" s="182">
        <f t="shared" si="366"/>
        <v>3</v>
      </c>
      <c r="BG151" s="164" t="str">
        <f t="shared" si="308"/>
        <v>Very Good</v>
      </c>
      <c r="BH151" s="185"/>
      <c r="BI151" s="182">
        <f t="shared" si="367"/>
        <v>3</v>
      </c>
      <c r="BJ151" s="164" t="str">
        <f t="shared" si="309"/>
        <v>Very Good</v>
      </c>
      <c r="BK151" s="860"/>
      <c r="BN151" s="167"/>
      <c r="BO151" s="167">
        <v>1</v>
      </c>
      <c r="BP151" s="167">
        <f t="shared" si="340"/>
        <v>1</v>
      </c>
      <c r="BQ151" s="167">
        <f t="shared" si="196"/>
        <v>0</v>
      </c>
      <c r="BR151" s="167">
        <f t="shared" si="197"/>
        <v>0</v>
      </c>
      <c r="BS151" s="167">
        <f t="shared" si="198"/>
        <v>0</v>
      </c>
      <c r="BV151" s="718"/>
      <c r="BW151" s="718"/>
      <c r="BX151" s="718"/>
      <c r="BY151" s="718"/>
      <c r="BZ151" s="718"/>
      <c r="CA151" s="718"/>
    </row>
    <row r="152" spans="1:80" ht="15.75" thickBot="1" x14ac:dyDescent="0.3">
      <c r="A152" s="96">
        <v>144</v>
      </c>
      <c r="B152" s="96" t="s">
        <v>891</v>
      </c>
      <c r="C152" s="722"/>
      <c r="D152" s="721" t="s">
        <v>216</v>
      </c>
      <c r="E152" s="787">
        <f>E126+E130+E134+E138+E144+E148</f>
        <v>21</v>
      </c>
      <c r="F152" s="787">
        <f t="shared" ref="F152:Q152" si="369">F126+F130+F134+F138+F144+F148</f>
        <v>21</v>
      </c>
      <c r="G152" s="787">
        <f t="shared" si="369"/>
        <v>21</v>
      </c>
      <c r="H152" s="787">
        <f t="shared" si="369"/>
        <v>21</v>
      </c>
      <c r="I152" s="787">
        <f t="shared" si="369"/>
        <v>21</v>
      </c>
      <c r="J152" s="787">
        <f t="shared" si="369"/>
        <v>21</v>
      </c>
      <c r="K152" s="787">
        <f t="shared" si="369"/>
        <v>21</v>
      </c>
      <c r="L152" s="787">
        <f t="shared" si="369"/>
        <v>21</v>
      </c>
      <c r="M152" s="787">
        <f t="shared" si="369"/>
        <v>21</v>
      </c>
      <c r="N152" s="787">
        <f t="shared" si="369"/>
        <v>21</v>
      </c>
      <c r="O152" s="787">
        <f t="shared" si="369"/>
        <v>21</v>
      </c>
      <c r="P152" s="787">
        <f t="shared" ref="P152" si="370">P126+P130+P134+P138+P144+P148</f>
        <v>21</v>
      </c>
      <c r="Q152" s="787">
        <f t="shared" si="369"/>
        <v>21</v>
      </c>
      <c r="S152" s="226">
        <f t="shared" si="296"/>
        <v>21</v>
      </c>
      <c r="T152" s="204"/>
      <c r="U152" s="205"/>
      <c r="V152" s="205"/>
      <c r="W152" s="205"/>
      <c r="X152" s="206"/>
      <c r="Y152" s="206"/>
      <c r="Z152" s="787">
        <f t="shared" ref="Z152:AF152" si="371">Z126+Z130+Z134+Z138+Z144+Z148</f>
        <v>0</v>
      </c>
      <c r="AA152" s="787">
        <f t="shared" si="371"/>
        <v>21</v>
      </c>
      <c r="AC152" s="208">
        <f t="shared" si="371"/>
        <v>0.17000000000000004</v>
      </c>
      <c r="AD152" s="208">
        <f t="shared" si="371"/>
        <v>0</v>
      </c>
      <c r="AE152" s="208">
        <f t="shared" si="371"/>
        <v>0</v>
      </c>
      <c r="AF152" s="208">
        <f t="shared" si="371"/>
        <v>0</v>
      </c>
      <c r="AH152" s="78">
        <f t="shared" ref="AH152:AJ152" si="372">AH126+AH130+AH134+AH138+AH144+AH148</f>
        <v>0</v>
      </c>
      <c r="AI152" s="78">
        <f t="shared" si="372"/>
        <v>0</v>
      </c>
      <c r="AJ152" s="78">
        <f t="shared" si="372"/>
        <v>0</v>
      </c>
      <c r="AL152" s="139"/>
      <c r="AM152" s="139"/>
      <c r="AN152" s="139"/>
      <c r="AO152" s="139"/>
      <c r="AP152" s="139"/>
      <c r="AQ152" s="139"/>
      <c r="AR152" s="139"/>
      <c r="AS152" s="139"/>
      <c r="AT152" s="139"/>
      <c r="AU152" s="139"/>
      <c r="AV152" s="139"/>
      <c r="AX152" s="97"/>
      <c r="AY152" s="209"/>
      <c r="AZ152" s="97"/>
      <c r="BA152" s="97"/>
      <c r="BB152" s="97"/>
      <c r="BV152" s="202"/>
      <c r="BW152" s="202" t="str">
        <f>IFERROR(VLOOKUP($D152,'Pre-Assessment Estimator'!$E$11:$AB$224,'Pre-Assessment Estimator'!AB$2,FALSE),"")</f>
        <v/>
      </c>
      <c r="BX152" s="202" t="str">
        <f>IFERROR(VLOOKUP($D152,'Pre-Assessment Estimator'!$E$11:$AI$224,'Pre-Assessment Estimator'!AI$2,FALSE),"")</f>
        <v/>
      </c>
      <c r="BY152" s="202" t="str">
        <f t="shared" ref="BY152:BZ155" si="373">IFERROR(VLOOKUP($BW152,$D$291:$G$324,E$289,FALSE),"")</f>
        <v/>
      </c>
      <c r="BZ152" s="202" t="str">
        <f t="shared" si="373"/>
        <v/>
      </c>
      <c r="CA152" s="202"/>
      <c r="CB152" s="96" t="str">
        <f>IFERROR(VLOOKUP($BW152,$D$291:$G$324,H$289,FALSE),"")</f>
        <v/>
      </c>
    </row>
    <row r="153" spans="1:80" ht="15.75" thickBot="1" x14ac:dyDescent="0.3">
      <c r="A153" s="96">
        <v>145</v>
      </c>
      <c r="AH153" s="3"/>
      <c r="AI153" s="3"/>
      <c r="AJ153" s="3"/>
      <c r="AL153" s="139"/>
      <c r="AM153" s="139"/>
      <c r="AN153" s="139"/>
      <c r="AO153" s="139"/>
      <c r="AP153" s="139"/>
      <c r="AQ153" s="139"/>
      <c r="AR153" s="139"/>
      <c r="AS153" s="139"/>
      <c r="AT153" s="139"/>
      <c r="AU153" s="139"/>
      <c r="AV153" s="139"/>
      <c r="AX153" s="97"/>
      <c r="AY153" s="97"/>
      <c r="AZ153" s="97"/>
      <c r="BA153" s="97"/>
      <c r="BB153" s="97"/>
      <c r="BW153" s="96" t="str">
        <f>IFERROR(VLOOKUP($D153,'Pre-Assessment Estimator'!$E$11:$AB$224,'Pre-Assessment Estimator'!AB$2,FALSE),"")</f>
        <v/>
      </c>
      <c r="BX153" s="96" t="str">
        <f>IFERROR(VLOOKUP($D153,'Pre-Assessment Estimator'!$E$11:$AI$224,'Pre-Assessment Estimator'!AI$2,FALSE),"")</f>
        <v/>
      </c>
      <c r="BY153" s="96" t="str">
        <f t="shared" si="373"/>
        <v/>
      </c>
      <c r="BZ153" s="96" t="str">
        <f t="shared" si="373"/>
        <v/>
      </c>
      <c r="CB153" s="96" t="str">
        <f>IFERROR(VLOOKUP($BW153,$D$291:$G$324,H$289,FALSE),"")</f>
        <v/>
      </c>
    </row>
    <row r="154" spans="1:80" ht="60.75" thickBot="1" x14ac:dyDescent="0.3">
      <c r="A154" s="96">
        <v>146</v>
      </c>
      <c r="C154" s="145"/>
      <c r="D154" s="146" t="s">
        <v>71</v>
      </c>
      <c r="E154" s="778" t="str">
        <f>$E$9</f>
        <v>Office</v>
      </c>
      <c r="F154" s="778" t="str">
        <f>$F$9</f>
        <v>Retail</v>
      </c>
      <c r="G154" s="778" t="str">
        <f>$G$9</f>
        <v>Residential</v>
      </c>
      <c r="H154" s="778" t="str">
        <f>$H$9</f>
        <v>Industrial</v>
      </c>
      <c r="I154" s="778" t="str">
        <f>$I$9</f>
        <v>Healthcare</v>
      </c>
      <c r="J154" s="778" t="str">
        <f>$J$9</f>
        <v>Prison</v>
      </c>
      <c r="K154" s="778" t="str">
        <f>$K$9</f>
        <v>Law Court</v>
      </c>
      <c r="L154" s="778" t="str">
        <f>$L$9</f>
        <v>Residential institution (long term stay)</v>
      </c>
      <c r="M154" s="778" t="str">
        <f>$M$9</f>
        <v>Residential institution (short term stay)</v>
      </c>
      <c r="N154" s="778" t="str">
        <f>$N$9</f>
        <v>Non-residential institution</v>
      </c>
      <c r="O154" s="778" t="str">
        <f>$O$9</f>
        <v>Assembly and leisure</v>
      </c>
      <c r="P154" s="779" t="str">
        <f>$P$9</f>
        <v>Education</v>
      </c>
      <c r="Q154" s="779" t="str">
        <f>$Q$9</f>
        <v>Other</v>
      </c>
      <c r="S154" s="138" t="str">
        <f>$D$6</f>
        <v>Office</v>
      </c>
      <c r="T154" s="210"/>
      <c r="U154" s="211"/>
      <c r="V154" s="211"/>
      <c r="W154" s="211"/>
      <c r="X154" s="1182" t="s">
        <v>414</v>
      </c>
      <c r="Y154" s="347" t="s">
        <v>337</v>
      </c>
      <c r="Z154" s="150" t="s">
        <v>216</v>
      </c>
      <c r="AA154" s="59" t="s">
        <v>16</v>
      </c>
      <c r="AH154" s="42"/>
      <c r="AI154" s="60"/>
      <c r="AJ154" s="60"/>
      <c r="AL154" s="139"/>
      <c r="AM154" s="139"/>
      <c r="AN154" s="139"/>
      <c r="AO154" s="139"/>
      <c r="AP154" s="139"/>
      <c r="AQ154" s="139"/>
      <c r="AR154" s="139"/>
      <c r="AS154" s="139"/>
      <c r="AT154" s="139"/>
      <c r="AU154" s="139"/>
      <c r="AV154" s="139"/>
      <c r="AX154" s="97"/>
      <c r="AY154" s="97"/>
      <c r="AZ154" s="97"/>
      <c r="BA154" s="97"/>
      <c r="BB154" s="97"/>
      <c r="BN154" s="60"/>
      <c r="BO154" s="60"/>
      <c r="BP154" s="60"/>
      <c r="BQ154" s="60"/>
      <c r="BR154" s="60"/>
      <c r="BS154" s="60"/>
      <c r="BV154" s="146"/>
      <c r="BW154" s="146" t="str">
        <f>D154</f>
        <v>Waste</v>
      </c>
      <c r="BX154" s="146">
        <f>IFERROR(VLOOKUP($D154,'Pre-Assessment Estimator'!$E$11:$AI$224,'Pre-Assessment Estimator'!AI$2,FALSE),"")</f>
        <v>0</v>
      </c>
      <c r="BY154" s="146" t="str">
        <f t="shared" si="373"/>
        <v/>
      </c>
      <c r="BZ154" s="146" t="str">
        <f t="shared" si="373"/>
        <v/>
      </c>
      <c r="CA154" s="146"/>
      <c r="CB154" s="96" t="str">
        <f>IFERROR(VLOOKUP($BW154,$D$291:$G$324,H$289,FALSE),"")</f>
        <v/>
      </c>
    </row>
    <row r="155" spans="1:80" x14ac:dyDescent="0.25">
      <c r="A155" s="96">
        <v>147</v>
      </c>
      <c r="B155" s="137" t="str">
        <f>C155</f>
        <v>Wst 01</v>
      </c>
      <c r="C155" s="846" t="s">
        <v>179</v>
      </c>
      <c r="D155" s="844" t="s">
        <v>161</v>
      </c>
      <c r="E155" s="947">
        <f>SUM(E156:E158)</f>
        <v>5</v>
      </c>
      <c r="F155" s="947">
        <f t="shared" ref="F155:Q155" si="374">SUM(F156:F158)</f>
        <v>5</v>
      </c>
      <c r="G155" s="947">
        <f t="shared" si="374"/>
        <v>5</v>
      </c>
      <c r="H155" s="947">
        <f t="shared" si="374"/>
        <v>5</v>
      </c>
      <c r="I155" s="947">
        <f t="shared" si="374"/>
        <v>5</v>
      </c>
      <c r="J155" s="947">
        <f t="shared" si="374"/>
        <v>5</v>
      </c>
      <c r="K155" s="947">
        <f t="shared" si="374"/>
        <v>5</v>
      </c>
      <c r="L155" s="947">
        <f t="shared" si="374"/>
        <v>5</v>
      </c>
      <c r="M155" s="947">
        <f t="shared" si="374"/>
        <v>5</v>
      </c>
      <c r="N155" s="947">
        <f t="shared" si="374"/>
        <v>5</v>
      </c>
      <c r="O155" s="947">
        <f t="shared" si="374"/>
        <v>5</v>
      </c>
      <c r="P155" s="947">
        <f t="shared" ref="P155" si="375">SUM(P156:P158)</f>
        <v>5</v>
      </c>
      <c r="Q155" s="947">
        <f t="shared" si="374"/>
        <v>5</v>
      </c>
      <c r="R155" s="367"/>
      <c r="S155" s="975">
        <f>HLOOKUP($D$6,$E$9:$Q$231,$A155,FALSE)</f>
        <v>5</v>
      </c>
      <c r="T155" s="222"/>
      <c r="U155" s="230"/>
      <c r="V155" s="230"/>
      <c r="W155" s="230">
        <f>'Manuell filtrering og justering'!E68</f>
        <v>0</v>
      </c>
      <c r="X155" s="230"/>
      <c r="Y155" s="947">
        <f t="shared" ref="Y155" si="376">SUM(Y156:Y158)</f>
        <v>5</v>
      </c>
      <c r="Z155" s="977">
        <f>IF(SUM(T155:X155)&gt;S155,S155,SUM(T155:X155))</f>
        <v>0</v>
      </c>
      <c r="AA155" s="1081">
        <f>SUM(AA156:AA158)</f>
        <v>5</v>
      </c>
      <c r="AC155" s="171">
        <f t="shared" ref="AC155:AC165" si="377">(Wst_Weight/Wst_Credits)*AA155</f>
        <v>0.05</v>
      </c>
      <c r="AD155" s="935">
        <f>SUM(AD156:AD158)</f>
        <v>0</v>
      </c>
      <c r="AE155" s="935">
        <f t="shared" ref="AE155" si="378">SUM(AE156:AE158)</f>
        <v>0</v>
      </c>
      <c r="AF155" s="935">
        <f t="shared" ref="AF155" si="379">SUM(AF156:AF158)</f>
        <v>0</v>
      </c>
      <c r="AH155" s="947">
        <f t="shared" ref="AH155" si="380">SUM(AH156:AH158)</f>
        <v>0</v>
      </c>
      <c r="AI155" s="947">
        <f t="shared" ref="AI155" si="381">SUM(AI156:AI158)</f>
        <v>0</v>
      </c>
      <c r="AJ155" s="947">
        <f t="shared" ref="AJ155" si="382">SUM(AJ156:AJ158)</f>
        <v>0</v>
      </c>
      <c r="AL155" s="298"/>
      <c r="AM155" s="299"/>
      <c r="AN155" s="299"/>
      <c r="AO155" s="299"/>
      <c r="AP155" s="300"/>
      <c r="AQ155" s="139"/>
      <c r="AR155" s="298"/>
      <c r="AS155" s="299"/>
      <c r="AT155" s="299"/>
      <c r="AU155" s="299"/>
      <c r="AV155" s="300"/>
      <c r="AX155" s="174"/>
      <c r="AY155" s="175"/>
      <c r="AZ155" s="175"/>
      <c r="BA155" s="175"/>
      <c r="BB155" s="228"/>
      <c r="BC155" s="174">
        <f t="shared" si="59"/>
        <v>9</v>
      </c>
      <c r="BD155" s="164" t="str">
        <f t="shared" ref="BD155:BD165" si="383">VLOOKUP(BC155,$BN$282:$BS$288,6,FALSE)</f>
        <v>N/A</v>
      </c>
      <c r="BE155" s="178"/>
      <c r="BF155" s="174">
        <f>IF(BB155=0,9,IF(AI155&gt;=BB155,5,IF(AI155&gt;=BA155,4,IF(AI155&gt;=AZ155,3,IF(AI155&gt;=AY155,2,IF(AI155&lt;AX155,0,1))))))</f>
        <v>9</v>
      </c>
      <c r="BG155" s="164" t="str">
        <f t="shared" ref="BG155:BG165" si="384">VLOOKUP(BF155,$BN$282:$BS$288,6,FALSE)</f>
        <v>N/A</v>
      </c>
      <c r="BH155" s="178"/>
      <c r="BI155" s="174">
        <f t="shared" si="27"/>
        <v>9</v>
      </c>
      <c r="BJ155" s="164" t="str">
        <f t="shared" ref="BJ155:BJ165" si="385">VLOOKUP(BI155,$BN$282:$BS$288,6,FALSE)</f>
        <v>N/A</v>
      </c>
      <c r="BK155" s="178"/>
      <c r="BN155" s="167"/>
      <c r="BO155" s="167"/>
      <c r="BP155" s="167" t="str">
        <f t="shared" si="340"/>
        <v/>
      </c>
      <c r="BQ155" s="167">
        <f t="shared" si="196"/>
        <v>9</v>
      </c>
      <c r="BR155" s="167">
        <f t="shared" si="197"/>
        <v>9</v>
      </c>
      <c r="BS155" s="167">
        <f t="shared" si="198"/>
        <v>9</v>
      </c>
      <c r="BV155" s="164" t="str">
        <f>C155</f>
        <v>Wst 01</v>
      </c>
      <c r="BW155" s="164" t="str">
        <f>IFERROR(VLOOKUP($D155,'Pre-Assessment Estimator'!$E$11:$AB$224,'Pre-Assessment Estimator'!AB$2,FALSE),"")</f>
        <v>N/A</v>
      </c>
      <c r="BX155" s="164">
        <f>IFERROR(VLOOKUP($D155,'Pre-Assessment Estimator'!$E$11:$AI$224,'Pre-Assessment Estimator'!AI$2,FALSE),"")</f>
        <v>0</v>
      </c>
      <c r="BY155" s="164">
        <f t="shared" si="373"/>
        <v>1</v>
      </c>
      <c r="BZ155" s="164">
        <f t="shared" si="373"/>
        <v>0</v>
      </c>
      <c r="CA155" s="164"/>
      <c r="CB155" s="96" t="s">
        <v>432</v>
      </c>
    </row>
    <row r="156" spans="1:80" x14ac:dyDescent="0.25">
      <c r="A156" s="96">
        <v>148</v>
      </c>
      <c r="B156" s="96" t="str">
        <f t="shared" ref="B156:B158" si="386">$C$155&amp;C156</f>
        <v>Wst 01a</v>
      </c>
      <c r="C156" s="163" t="s">
        <v>696</v>
      </c>
      <c r="D156" s="1138" t="s">
        <v>668</v>
      </c>
      <c r="E156" s="963">
        <v>1</v>
      </c>
      <c r="F156" s="963">
        <v>1</v>
      </c>
      <c r="G156" s="963">
        <v>1</v>
      </c>
      <c r="H156" s="963">
        <v>1</v>
      </c>
      <c r="I156" s="963">
        <v>1</v>
      </c>
      <c r="J156" s="963">
        <v>1</v>
      </c>
      <c r="K156" s="963">
        <v>1</v>
      </c>
      <c r="L156" s="963">
        <v>1</v>
      </c>
      <c r="M156" s="963">
        <v>1</v>
      </c>
      <c r="N156" s="963">
        <v>1</v>
      </c>
      <c r="O156" s="963">
        <v>1</v>
      </c>
      <c r="P156" s="963">
        <v>1</v>
      </c>
      <c r="Q156" s="963">
        <v>1</v>
      </c>
      <c r="R156" s="367"/>
      <c r="S156" s="221">
        <f>HLOOKUP($D$6,$E$9:$Q$231,$A156,FALSE)</f>
        <v>1</v>
      </c>
      <c r="T156" s="166"/>
      <c r="U156" s="167"/>
      <c r="V156" s="167"/>
      <c r="W156" s="167"/>
      <c r="X156" s="168"/>
      <c r="Y156" s="168">
        <f>VLOOKUP(B156,'Manuell filtrering og justering'!$A$7:$H$253,'Manuell filtrering og justering'!$H$1,FALSE)</f>
        <v>1</v>
      </c>
      <c r="Z156" s="169">
        <f>IF(SUM(T156:X156)&gt;S156,S156,SUM(T156:X156))</f>
        <v>0</v>
      </c>
      <c r="AA156" s="170">
        <f>IF($AB$5='Manuell filtrering og justering'!$J$2,Y156,(S156-Z156))</f>
        <v>1</v>
      </c>
      <c r="AC156" s="171">
        <f t="shared" si="377"/>
        <v>0.01</v>
      </c>
      <c r="AD156" s="171">
        <f t="shared" ref="AD156:AD165" si="387">IF(AA156=0,0,(AC156/AA156)*AH156)</f>
        <v>0</v>
      </c>
      <c r="AE156" s="171">
        <f t="shared" ref="AE156:AE165" si="388">IF(AA156=0,0,(AC156/AA156)*AI156)</f>
        <v>0</v>
      </c>
      <c r="AF156" s="171">
        <f t="shared" ref="AF156:AF165" si="389">IF(AA156=0,0,(AC156/AA156)*AJ156)</f>
        <v>0</v>
      </c>
      <c r="AH156" s="172">
        <f>IF(VLOOKUP(D156,'Pre-Assessment Estimator'!$E$11:$Z$224,'Pre-Assessment Estimator'!$G$2,FALSE)&gt;AA156,AA156,VLOOKUP(D156,'Pre-Assessment Estimator'!$E$11:$Z$224,'Pre-Assessment Estimator'!$G$2,FALSE))</f>
        <v>0</v>
      </c>
      <c r="AI156" s="172">
        <f>IF(VLOOKUP(D156,'Pre-Assessment Estimator'!$E$11:$Z$224,'Pre-Assessment Estimator'!$N$2,FALSE)&gt;AA156,AA156,VLOOKUP(D156,'Pre-Assessment Estimator'!$E$11:$Z$224,'Pre-Assessment Estimator'!$N$2,FALSE))</f>
        <v>0</v>
      </c>
      <c r="AJ156" s="172">
        <f>IF(VLOOKUP(D156,'Pre-Assessment Estimator'!$E$11:$Z$224,'Pre-Assessment Estimator'!$U$2,FALSE)&gt;AA156,AA156,VLOOKUP(D156,'Pre-Assessment Estimator'!$E$11:$Z$224,'Pre-Assessment Estimator'!$U$2,FALSE))</f>
        <v>0</v>
      </c>
      <c r="AL156" s="848"/>
      <c r="AM156" s="849"/>
      <c r="AN156" s="849">
        <v>1</v>
      </c>
      <c r="AO156" s="849">
        <v>1</v>
      </c>
      <c r="AP156" s="850">
        <v>1</v>
      </c>
      <c r="AQ156" s="139"/>
      <c r="AR156" s="848"/>
      <c r="AS156" s="849"/>
      <c r="AT156" s="849">
        <v>1</v>
      </c>
      <c r="AU156" s="849">
        <v>1</v>
      </c>
      <c r="AV156" s="850">
        <v>1</v>
      </c>
      <c r="AX156" s="841"/>
      <c r="AY156" s="842"/>
      <c r="AZ156" s="183">
        <f>IF($AA156=0,0,IF($D$6=$G$9,AT156,AN156))</f>
        <v>1</v>
      </c>
      <c r="BA156" s="183">
        <f>IF($AA156=0,0,IF($D$6=$G$9,AU156,AO156))</f>
        <v>1</v>
      </c>
      <c r="BB156" s="183">
        <f>IF($AA156=0,0,IF($D$6=$G$9,AV156,AP156))</f>
        <v>1</v>
      </c>
      <c r="BC156" s="182">
        <f t="shared" ref="BC156:BC157" si="390">IF(BB156=0,9,IF(AH156&gt;=BB156,5,IF(AH156&gt;=BA156,4,IF(AH156&gt;=AZ156,3,IF(AH156&gt;=AY156,2,IF(AH156&lt;AX156,0,1))))))</f>
        <v>2</v>
      </c>
      <c r="BD156" s="164" t="str">
        <f t="shared" si="383"/>
        <v>Good</v>
      </c>
      <c r="BE156" s="185"/>
      <c r="BF156" s="182">
        <f t="shared" ref="BF156:BF157" si="391">IF(BB156=0,9,IF(AI156&gt;=BB156,5,IF(AI156&gt;=BA156,4,IF(AI156&gt;=AZ156,3,IF(AI156&gt;=AY156,2,IF(AI156&lt;AX156,0,1))))))</f>
        <v>2</v>
      </c>
      <c r="BG156" s="164" t="str">
        <f t="shared" si="384"/>
        <v>Good</v>
      </c>
      <c r="BH156" s="185"/>
      <c r="BI156" s="182">
        <f t="shared" ref="BI156:BI157" si="392">IF(BB156=0,9,IF(AJ156&gt;=BB156,5,IF(AJ156&gt;=BA156,4,IF(AJ156&gt;=AZ156,3,IF(AJ156&gt;=AY156,2,IF(AJ156&lt;AX156,0,1))))))</f>
        <v>2</v>
      </c>
      <c r="BJ156" s="164" t="str">
        <f t="shared" si="385"/>
        <v>Good</v>
      </c>
      <c r="BK156" s="843"/>
      <c r="BN156" s="167"/>
      <c r="BO156" s="1199">
        <f>1*0</f>
        <v>0</v>
      </c>
      <c r="BP156" s="167">
        <f t="shared" si="340"/>
        <v>0</v>
      </c>
      <c r="BQ156" s="167">
        <f t="shared" si="196"/>
        <v>5</v>
      </c>
      <c r="BR156" s="167">
        <f t="shared" si="197"/>
        <v>5</v>
      </c>
      <c r="BS156" s="167">
        <f t="shared" si="198"/>
        <v>5</v>
      </c>
      <c r="BV156" s="164"/>
      <c r="BW156" s="164"/>
      <c r="BX156" s="164"/>
      <c r="BY156" s="164"/>
      <c r="BZ156" s="164"/>
      <c r="CA156" s="164"/>
    </row>
    <row r="157" spans="1:80" x14ac:dyDescent="0.25">
      <c r="A157" s="96">
        <v>149</v>
      </c>
      <c r="B157" s="96" t="str">
        <f t="shared" si="386"/>
        <v>Wst 01b</v>
      </c>
      <c r="C157" s="163" t="s">
        <v>699</v>
      </c>
      <c r="D157" s="1138" t="s">
        <v>669</v>
      </c>
      <c r="E157" s="963">
        <v>2</v>
      </c>
      <c r="F157" s="963">
        <v>2</v>
      </c>
      <c r="G157" s="963">
        <v>2</v>
      </c>
      <c r="H157" s="963">
        <v>2</v>
      </c>
      <c r="I157" s="963">
        <v>2</v>
      </c>
      <c r="J157" s="963">
        <v>2</v>
      </c>
      <c r="K157" s="963">
        <v>2</v>
      </c>
      <c r="L157" s="963">
        <v>2</v>
      </c>
      <c r="M157" s="963">
        <v>2</v>
      </c>
      <c r="N157" s="963">
        <v>2</v>
      </c>
      <c r="O157" s="963">
        <v>2</v>
      </c>
      <c r="P157" s="963">
        <v>2</v>
      </c>
      <c r="Q157" s="963">
        <v>2</v>
      </c>
      <c r="R157" s="367"/>
      <c r="S157" s="221">
        <f>HLOOKUP($D$6,$E$9:$Q$231,$A157,FALSE)</f>
        <v>2</v>
      </c>
      <c r="T157" s="166"/>
      <c r="U157" s="167"/>
      <c r="V157" s="167"/>
      <c r="W157" s="167"/>
      <c r="X157" s="168"/>
      <c r="Y157" s="168">
        <f>VLOOKUP(B157,'Manuell filtrering og justering'!$A$7:$H$253,'Manuell filtrering og justering'!$H$1,FALSE)</f>
        <v>2</v>
      </c>
      <c r="Z157" s="169">
        <f>IF(SUM(T157:X157)&gt;S157,S157,SUM(T157:X157))</f>
        <v>0</v>
      </c>
      <c r="AA157" s="170">
        <f>IF($AB$5='Manuell filtrering og justering'!$J$2,Y157,(S157-Z157))</f>
        <v>2</v>
      </c>
      <c r="AC157" s="171">
        <f t="shared" si="377"/>
        <v>0.02</v>
      </c>
      <c r="AD157" s="171">
        <f t="shared" si="387"/>
        <v>0</v>
      </c>
      <c r="AE157" s="171">
        <f t="shared" si="388"/>
        <v>0</v>
      </c>
      <c r="AF157" s="171">
        <f t="shared" si="389"/>
        <v>0</v>
      </c>
      <c r="AH157" s="172">
        <f>IF(VLOOKUP(D157,'Pre-Assessment Estimator'!$E$11:$Z$224,'Pre-Assessment Estimator'!$G$2,FALSE)&gt;AA157,AA157,VLOOKUP(D157,'Pre-Assessment Estimator'!$E$11:$Z$224,'Pre-Assessment Estimator'!$G$2,FALSE))</f>
        <v>0</v>
      </c>
      <c r="AI157" s="172">
        <f>IF(VLOOKUP(D157,'Pre-Assessment Estimator'!$E$11:$Z$224,'Pre-Assessment Estimator'!$N$2,FALSE)&gt;AA157,AA157,VLOOKUP(D157,'Pre-Assessment Estimator'!$E$11:$Z$224,'Pre-Assessment Estimator'!$N$2,FALSE))</f>
        <v>0</v>
      </c>
      <c r="AJ157" s="172">
        <f>IF(VLOOKUP(D157,'Pre-Assessment Estimator'!$E$11:$Z$224,'Pre-Assessment Estimator'!$U$2,FALSE)&gt;AA157,AA157,VLOOKUP(D157,'Pre-Assessment Estimator'!$E$11:$Z$224,'Pre-Assessment Estimator'!$U$2,FALSE))</f>
        <v>0</v>
      </c>
      <c r="AL157" s="848"/>
      <c r="AM157" s="849"/>
      <c r="AN157" s="849"/>
      <c r="AO157" s="849"/>
      <c r="AP157" s="850">
        <v>1</v>
      </c>
      <c r="AQ157" s="139"/>
      <c r="AR157" s="848"/>
      <c r="AS157" s="849"/>
      <c r="AT157" s="849"/>
      <c r="AU157" s="849"/>
      <c r="AV157" s="850">
        <v>1</v>
      </c>
      <c r="AX157" s="841"/>
      <c r="AY157" s="842"/>
      <c r="AZ157" s="842"/>
      <c r="BA157" s="842"/>
      <c r="BB157" s="183">
        <f>IF($AA157=0,0,IF($D$6=$G$9,AV157,AP157))</f>
        <v>1</v>
      </c>
      <c r="BC157" s="182">
        <f t="shared" si="390"/>
        <v>4</v>
      </c>
      <c r="BD157" s="164" t="str">
        <f t="shared" si="383"/>
        <v>Excellent</v>
      </c>
      <c r="BE157" s="185"/>
      <c r="BF157" s="182">
        <f t="shared" si="391"/>
        <v>4</v>
      </c>
      <c r="BG157" s="164" t="str">
        <f t="shared" si="384"/>
        <v>Excellent</v>
      </c>
      <c r="BH157" s="185"/>
      <c r="BI157" s="182">
        <f t="shared" si="392"/>
        <v>4</v>
      </c>
      <c r="BJ157" s="164" t="str">
        <f t="shared" si="385"/>
        <v>Excellent</v>
      </c>
      <c r="BK157" s="843"/>
      <c r="BN157" s="167"/>
      <c r="BO157" s="167"/>
      <c r="BP157" s="167" t="str">
        <f t="shared" si="340"/>
        <v/>
      </c>
      <c r="BQ157" s="167">
        <f t="shared" si="196"/>
        <v>9</v>
      </c>
      <c r="BR157" s="167">
        <f t="shared" si="197"/>
        <v>9</v>
      </c>
      <c r="BS157" s="167">
        <f t="shared" si="198"/>
        <v>9</v>
      </c>
      <c r="BV157" s="164"/>
      <c r="BW157" s="164"/>
      <c r="BX157" s="164"/>
      <c r="BY157" s="164"/>
      <c r="BZ157" s="164"/>
      <c r="CA157" s="164"/>
    </row>
    <row r="158" spans="1:80" x14ac:dyDescent="0.25">
      <c r="A158" s="96">
        <v>150</v>
      </c>
      <c r="B158" s="96" t="str">
        <f t="shared" si="386"/>
        <v>Wst 01c</v>
      </c>
      <c r="C158" s="163" t="s">
        <v>700</v>
      </c>
      <c r="D158" s="1138" t="s">
        <v>670</v>
      </c>
      <c r="E158" s="963">
        <v>2</v>
      </c>
      <c r="F158" s="963">
        <v>2</v>
      </c>
      <c r="G158" s="963">
        <v>2</v>
      </c>
      <c r="H158" s="963">
        <v>2</v>
      </c>
      <c r="I158" s="963">
        <v>2</v>
      </c>
      <c r="J158" s="963">
        <v>2</v>
      </c>
      <c r="K158" s="963">
        <v>2</v>
      </c>
      <c r="L158" s="963">
        <v>2</v>
      </c>
      <c r="M158" s="963">
        <v>2</v>
      </c>
      <c r="N158" s="963">
        <v>2</v>
      </c>
      <c r="O158" s="963">
        <v>2</v>
      </c>
      <c r="P158" s="963">
        <v>2</v>
      </c>
      <c r="Q158" s="963">
        <v>2</v>
      </c>
      <c r="R158" s="367"/>
      <c r="S158" s="221">
        <f>HLOOKUP($D$6,$E$9:$Q$231,$A158,FALSE)</f>
        <v>2</v>
      </c>
      <c r="T158" s="166"/>
      <c r="U158" s="167"/>
      <c r="V158" s="167"/>
      <c r="W158" s="167"/>
      <c r="X158" s="168"/>
      <c r="Y158" s="168">
        <f>VLOOKUP(B158,'Manuell filtrering og justering'!$A$7:$H$253,'Manuell filtrering og justering'!$H$1,FALSE)</f>
        <v>2</v>
      </c>
      <c r="Z158" s="169">
        <f>IF(SUM(T158:X158)&gt;S158,S158,SUM(T158:X158))</f>
        <v>0</v>
      </c>
      <c r="AA158" s="170">
        <f>IF($AB$5='Manuell filtrering og justering'!$J$2,Y158,(S158-Z158))</f>
        <v>2</v>
      </c>
      <c r="AC158" s="171">
        <f t="shared" si="377"/>
        <v>0.02</v>
      </c>
      <c r="AD158" s="171">
        <f t="shared" si="387"/>
        <v>0</v>
      </c>
      <c r="AE158" s="171">
        <f t="shared" si="388"/>
        <v>0</v>
      </c>
      <c r="AF158" s="171">
        <f t="shared" si="389"/>
        <v>0</v>
      </c>
      <c r="AH158" s="172">
        <f>IF(VLOOKUP(D158,'Pre-Assessment Estimator'!$E$11:$Z$224,'Pre-Assessment Estimator'!$G$2,FALSE)&gt;AA158,AA158,VLOOKUP(D158,'Pre-Assessment Estimator'!$E$11:$Z$224,'Pre-Assessment Estimator'!$G$2,FALSE))</f>
        <v>0</v>
      </c>
      <c r="AI158" s="172">
        <f>IF(VLOOKUP(D158,'Pre-Assessment Estimator'!$E$11:$Z$224,'Pre-Assessment Estimator'!$N$2,FALSE)&gt;AA158,AA158,VLOOKUP(D158,'Pre-Assessment Estimator'!$E$11:$Z$224,'Pre-Assessment Estimator'!$N$2,FALSE))</f>
        <v>0</v>
      </c>
      <c r="AJ158" s="172">
        <f>IF(VLOOKUP(D158,'Pre-Assessment Estimator'!$E$11:$Z$224,'Pre-Assessment Estimator'!$U$2,FALSE)&gt;AA158,AA158,VLOOKUP(D158,'Pre-Assessment Estimator'!$E$11:$Z$224,'Pre-Assessment Estimator'!$U$2,FALSE))</f>
        <v>0</v>
      </c>
      <c r="AL158" s="848"/>
      <c r="AM158" s="849"/>
      <c r="AN158" s="849"/>
      <c r="AO158" s="849">
        <v>2</v>
      </c>
      <c r="AP158" s="850">
        <v>2</v>
      </c>
      <c r="AQ158" s="139"/>
      <c r="AR158" s="848"/>
      <c r="AS158" s="849"/>
      <c r="AT158" s="849"/>
      <c r="AU158" s="849">
        <v>2</v>
      </c>
      <c r="AV158" s="850">
        <v>2</v>
      </c>
      <c r="AX158" s="841"/>
      <c r="AY158" s="842"/>
      <c r="AZ158" s="842"/>
      <c r="BA158" s="183">
        <f>IF($AA158=0,0,IF($D$6=$G$9,AU158,AO158))</f>
        <v>2</v>
      </c>
      <c r="BB158" s="183">
        <f>IF($AA158=0,0,IF($D$6=$G$9,AV158,AP158))</f>
        <v>2</v>
      </c>
      <c r="BC158" s="1170">
        <f>IF(AH158&gt;=BB158,5,IF(AH158&gt;=BA158,4,BE250))</f>
        <v>0</v>
      </c>
      <c r="BD158" s="720" t="str">
        <f t="shared" si="383"/>
        <v>Unclassified</v>
      </c>
      <c r="BE158" s="185"/>
      <c r="BF158" s="1170">
        <f>IF(AI158&gt;=BB158,5,IF(AI158&gt;=BA158,4,BH250))</f>
        <v>0</v>
      </c>
      <c r="BG158" s="164" t="str">
        <f t="shared" si="384"/>
        <v>Unclassified</v>
      </c>
      <c r="BH158" s="185"/>
      <c r="BI158" s="1170">
        <f>IF(AJ158&gt;=BB158,5,IF(AJ158&gt;=BA158,4,BK250))</f>
        <v>0</v>
      </c>
      <c r="BJ158" s="164" t="str">
        <f t="shared" si="385"/>
        <v>Unclassified</v>
      </c>
      <c r="BK158" s="843"/>
      <c r="BN158" s="167"/>
      <c r="BO158" s="1199">
        <f>2*0</f>
        <v>0</v>
      </c>
      <c r="BP158" s="167">
        <f t="shared" si="340"/>
        <v>0</v>
      </c>
      <c r="BQ158" s="167">
        <f t="shared" si="196"/>
        <v>5</v>
      </c>
      <c r="BR158" s="167">
        <f t="shared" si="197"/>
        <v>5</v>
      </c>
      <c r="BS158" s="167">
        <f t="shared" si="198"/>
        <v>5</v>
      </c>
      <c r="BV158" s="164"/>
      <c r="BW158" s="164"/>
      <c r="BX158" s="164"/>
      <c r="BY158" s="164"/>
      <c r="BZ158" s="164"/>
      <c r="CA158" s="164"/>
    </row>
    <row r="159" spans="1:80" x14ac:dyDescent="0.25">
      <c r="A159" s="96">
        <v>151</v>
      </c>
      <c r="C159" s="712" t="s">
        <v>180</v>
      </c>
      <c r="D159" s="713"/>
      <c r="E159" s="952"/>
      <c r="F159" s="952"/>
      <c r="G159" s="952"/>
      <c r="H159" s="952"/>
      <c r="I159" s="952"/>
      <c r="J159" s="952"/>
      <c r="K159" s="952"/>
      <c r="L159" s="952"/>
      <c r="M159" s="952"/>
      <c r="N159" s="952"/>
      <c r="O159" s="952"/>
      <c r="P159" s="952"/>
      <c r="Q159" s="952"/>
      <c r="S159" s="970"/>
      <c r="T159" s="712"/>
      <c r="U159" s="711"/>
      <c r="V159" s="711"/>
      <c r="W159" s="711"/>
      <c r="X159" s="190"/>
      <c r="Y159" s="168"/>
      <c r="Z159" s="970"/>
      <c r="AA159" s="971"/>
      <c r="AC159" s="171">
        <f t="shared" si="377"/>
        <v>0</v>
      </c>
      <c r="AD159" s="974"/>
      <c r="AE159" s="974"/>
      <c r="AF159" s="974"/>
      <c r="AH159" s="731"/>
      <c r="AI159" s="731"/>
      <c r="AJ159" s="731"/>
      <c r="AL159" s="291"/>
      <c r="AM159" s="181"/>
      <c r="AN159" s="181"/>
      <c r="AO159" s="181"/>
      <c r="AP159" s="186"/>
      <c r="AQ159" s="139"/>
      <c r="AR159" s="291"/>
      <c r="AS159" s="181"/>
      <c r="AT159" s="181"/>
      <c r="AU159" s="181"/>
      <c r="AV159" s="186"/>
      <c r="AX159" s="182"/>
      <c r="AY159" s="183"/>
      <c r="AZ159" s="183"/>
      <c r="BA159" s="183"/>
      <c r="BB159" s="187"/>
      <c r="BC159" s="182">
        <f t="shared" si="59"/>
        <v>9</v>
      </c>
      <c r="BD159" s="164" t="str">
        <f t="shared" si="383"/>
        <v>N/A</v>
      </c>
      <c r="BE159" s="185"/>
      <c r="BF159" s="182">
        <f>IF(BB159=0,9,IF(AI159&gt;=BB159,5,IF(AI159&gt;=BA159,4,IF(AI159&gt;=AZ159,3,IF(AI159&gt;=AY159,2,IF(AI159&lt;AX159,0,1))))))</f>
        <v>9</v>
      </c>
      <c r="BG159" s="164" t="str">
        <f t="shared" si="384"/>
        <v>N/A</v>
      </c>
      <c r="BH159" s="185"/>
      <c r="BI159" s="182">
        <f t="shared" si="27"/>
        <v>9</v>
      </c>
      <c r="BJ159" s="164" t="str">
        <f t="shared" si="385"/>
        <v>N/A</v>
      </c>
      <c r="BK159" s="185"/>
      <c r="BN159" s="167"/>
      <c r="BO159" s="167"/>
      <c r="BP159" s="167" t="str">
        <f t="shared" si="340"/>
        <v/>
      </c>
      <c r="BQ159" s="167">
        <f t="shared" ref="BQ159:BQ222" si="393">IF(BP159="",9,(IF(AH159&gt;=BP159,5,0)))</f>
        <v>9</v>
      </c>
      <c r="BR159" s="167">
        <f t="shared" ref="BR159:BR222" si="394">IF(BP159="",9,(IF(AI159&gt;=BP159,5,0)))</f>
        <v>9</v>
      </c>
      <c r="BS159" s="167">
        <f t="shared" ref="BS159:BS222" si="395">IF(BP159="",9,(IF(AJ159&gt;=BP159,5,0)))</f>
        <v>9</v>
      </c>
      <c r="BV159" s="287" t="str">
        <f>C159</f>
        <v>Wst 02</v>
      </c>
      <c r="BW159" s="287" t="str">
        <f>IFERROR(VLOOKUP($D159,'Pre-Assessment Estimator'!$E$11:$AB$224,'Pre-Assessment Estimator'!AB$2,FALSE),"")</f>
        <v/>
      </c>
      <c r="BX159" s="287" t="str">
        <f>IFERROR(VLOOKUP($D159,'Pre-Assessment Estimator'!$E$11:$AI$224,'Pre-Assessment Estimator'!AI$2,FALSE),"")</f>
        <v/>
      </c>
      <c r="BY159" s="287" t="str">
        <f>IFERROR(VLOOKUP($BW159,$D$291:$G$324,E$289,FALSE),"")</f>
        <v/>
      </c>
      <c r="BZ159" s="287" t="str">
        <f>IFERROR(VLOOKUP($BW159,$D$291:$G$324,F$289,FALSE),"")</f>
        <v/>
      </c>
      <c r="CA159" s="287"/>
      <c r="CB159" s="96" t="s">
        <v>432</v>
      </c>
    </row>
    <row r="160" spans="1:80" x14ac:dyDescent="0.25">
      <c r="A160" s="96">
        <v>152</v>
      </c>
      <c r="B160" s="137" t="str">
        <f>C160</f>
        <v>Wst 03a</v>
      </c>
      <c r="C160" s="847" t="s">
        <v>375</v>
      </c>
      <c r="D160" s="845" t="s">
        <v>799</v>
      </c>
      <c r="E160" s="947">
        <f>SUM(E161)</f>
        <v>1</v>
      </c>
      <c r="F160" s="947">
        <f t="shared" ref="F160:Q160" si="396">SUM(F161)</f>
        <v>1</v>
      </c>
      <c r="G160" s="947">
        <f t="shared" si="396"/>
        <v>0</v>
      </c>
      <c r="H160" s="947">
        <f t="shared" si="396"/>
        <v>1</v>
      </c>
      <c r="I160" s="947">
        <f t="shared" si="396"/>
        <v>1</v>
      </c>
      <c r="J160" s="947">
        <f t="shared" si="396"/>
        <v>1</v>
      </c>
      <c r="K160" s="947">
        <f t="shared" si="396"/>
        <v>1</v>
      </c>
      <c r="L160" s="947">
        <f t="shared" si="396"/>
        <v>1</v>
      </c>
      <c r="M160" s="947">
        <f t="shared" si="396"/>
        <v>1</v>
      </c>
      <c r="N160" s="947">
        <f t="shared" si="396"/>
        <v>1</v>
      </c>
      <c r="O160" s="947">
        <f t="shared" si="396"/>
        <v>1</v>
      </c>
      <c r="P160" s="947">
        <f t="shared" si="396"/>
        <v>1</v>
      </c>
      <c r="Q160" s="947">
        <f t="shared" si="396"/>
        <v>1</v>
      </c>
      <c r="S160" s="977">
        <f t="shared" ref="S160:S166" si="397">HLOOKUP($D$6,$E$9:$Q$231,$A160,FALSE)</f>
        <v>1</v>
      </c>
      <c r="T160" s="222"/>
      <c r="U160" s="230"/>
      <c r="V160" s="230"/>
      <c r="W160" s="230">
        <f>'Manuell filtrering og justering'!E70</f>
        <v>0</v>
      </c>
      <c r="X160" s="230"/>
      <c r="Y160" s="947">
        <f t="shared" ref="Y160" si="398">SUM(Y161)</f>
        <v>1</v>
      </c>
      <c r="Z160" s="169">
        <f t="shared" ref="Z160:Z165" si="399">IF(SUM(T160:X160)&gt;S160,S160,SUM(T160:X160))</f>
        <v>0</v>
      </c>
      <c r="AA160" s="1081">
        <f>SUM(AA161)</f>
        <v>1</v>
      </c>
      <c r="AC160" s="171">
        <f t="shared" si="377"/>
        <v>0.01</v>
      </c>
      <c r="AD160" s="935">
        <f>SUM(AD161)</f>
        <v>0</v>
      </c>
      <c r="AE160" s="935">
        <f t="shared" ref="AE160:AF160" si="400">SUM(AE161)</f>
        <v>0</v>
      </c>
      <c r="AF160" s="935">
        <f t="shared" si="400"/>
        <v>0</v>
      </c>
      <c r="AH160" s="947">
        <f t="shared" ref="AH160" si="401">SUM(AH161)</f>
        <v>0</v>
      </c>
      <c r="AI160" s="947">
        <f t="shared" ref="AI160" si="402">SUM(AI161)</f>
        <v>0</v>
      </c>
      <c r="AJ160" s="947">
        <f t="shared" ref="AJ160" si="403">SUM(AJ161)</f>
        <v>0</v>
      </c>
      <c r="AL160" s="292"/>
      <c r="AM160" s="293"/>
      <c r="AN160" s="293"/>
      <c r="AO160" s="293"/>
      <c r="AP160" s="294"/>
      <c r="AQ160" s="139"/>
      <c r="AR160" s="292"/>
      <c r="AS160" s="293"/>
      <c r="AT160" s="293"/>
      <c r="AU160" s="293"/>
      <c r="AV160" s="294"/>
      <c r="AX160" s="188"/>
      <c r="AY160" s="189"/>
      <c r="AZ160" s="189"/>
      <c r="BA160" s="189"/>
      <c r="BB160" s="190"/>
      <c r="BC160" s="182">
        <f t="shared" si="59"/>
        <v>9</v>
      </c>
      <c r="BD160" s="164" t="str">
        <f t="shared" si="383"/>
        <v>N/A</v>
      </c>
      <c r="BE160" s="185"/>
      <c r="BF160" s="182">
        <f t="shared" ref="BF160:BF162" si="404">IF(BB160=0,9,IF(AI160&gt;=BB160,5,IF(AI160&gt;=BA160,4,IF(AI160&gt;=AZ160,3,IF(AI160&gt;=AY160,2,IF(AI160&lt;AX160,0,1))))))</f>
        <v>9</v>
      </c>
      <c r="BG160" s="164" t="str">
        <f t="shared" si="384"/>
        <v>N/A</v>
      </c>
      <c r="BH160" s="185"/>
      <c r="BI160" s="182">
        <f t="shared" si="27"/>
        <v>9</v>
      </c>
      <c r="BJ160" s="164" t="str">
        <f t="shared" si="385"/>
        <v>N/A</v>
      </c>
      <c r="BK160" s="185"/>
      <c r="BN160" s="167"/>
      <c r="BO160" s="167"/>
      <c r="BP160" s="167" t="str">
        <f t="shared" si="340"/>
        <v/>
      </c>
      <c r="BQ160" s="167">
        <f t="shared" si="393"/>
        <v>9</v>
      </c>
      <c r="BR160" s="167">
        <f t="shared" si="394"/>
        <v>9</v>
      </c>
      <c r="BS160" s="167">
        <f t="shared" si="395"/>
        <v>9</v>
      </c>
      <c r="BV160" s="167" t="str">
        <f>C160</f>
        <v>Wst 03a</v>
      </c>
      <c r="BW160" s="167" t="str">
        <f>IFERROR(VLOOKUP($D160,'Pre-Assessment Estimator'!$E$11:$AB$224,'Pre-Assessment Estimator'!AB$2,FALSE),"")</f>
        <v>No</v>
      </c>
      <c r="BX160" s="167">
        <f>IFERROR(VLOOKUP($D160,'Pre-Assessment Estimator'!$E$11:$AI$224,'Pre-Assessment Estimator'!AI$2,FALSE),"")</f>
        <v>0</v>
      </c>
      <c r="BY160" s="167">
        <f>IFERROR(VLOOKUP($BW160,$D$291:$G$324,E$289,FALSE),"")</f>
        <v>1</v>
      </c>
      <c r="BZ160" s="167">
        <f>IFERROR(VLOOKUP($BW160,$D$291:$G$324,F$289,FALSE),"")</f>
        <v>0</v>
      </c>
      <c r="CA160" s="167"/>
      <c r="CB160" s="96" t="str">
        <f>IFERROR(VLOOKUP($BW160,$D$291:$G$324,H$289,FALSE),"")</f>
        <v/>
      </c>
    </row>
    <row r="161" spans="1:80" x14ac:dyDescent="0.25">
      <c r="A161" s="96">
        <v>153</v>
      </c>
      <c r="B161" s="96" t="str">
        <f t="shared" ref="B161" si="405">$C$160&amp;C161</f>
        <v>Wst 03aa</v>
      </c>
      <c r="C161" s="166" t="s">
        <v>696</v>
      </c>
      <c r="D161" s="1122" t="s">
        <v>376</v>
      </c>
      <c r="E161" s="788">
        <v>1</v>
      </c>
      <c r="F161" s="788">
        <v>1</v>
      </c>
      <c r="G161" s="1036">
        <v>0</v>
      </c>
      <c r="H161" s="788">
        <v>1</v>
      </c>
      <c r="I161" s="788">
        <v>1</v>
      </c>
      <c r="J161" s="788">
        <v>1</v>
      </c>
      <c r="K161" s="788">
        <v>1</v>
      </c>
      <c r="L161" s="788">
        <v>1</v>
      </c>
      <c r="M161" s="788">
        <v>1</v>
      </c>
      <c r="N161" s="788">
        <v>1</v>
      </c>
      <c r="O161" s="788">
        <v>1</v>
      </c>
      <c r="P161" s="788">
        <v>1</v>
      </c>
      <c r="Q161" s="788">
        <v>1</v>
      </c>
      <c r="S161" s="221">
        <f t="shared" si="397"/>
        <v>1</v>
      </c>
      <c r="T161" s="166"/>
      <c r="U161" s="167"/>
      <c r="V161" s="167"/>
      <c r="W161" s="167"/>
      <c r="X161" s="168"/>
      <c r="Y161" s="168">
        <f>VLOOKUP(B161,'Manuell filtrering og justering'!$A$7:$H$253,'Manuell filtrering og justering'!$H$1,FALSE)</f>
        <v>1</v>
      </c>
      <c r="Z161" s="169">
        <f t="shared" si="399"/>
        <v>0</v>
      </c>
      <c r="AA161" s="170">
        <f>IF($AB$5='Manuell filtrering og justering'!$J$2,Y161,(S161-Z161))</f>
        <v>1</v>
      </c>
      <c r="AC161" s="171">
        <f t="shared" si="377"/>
        <v>0.01</v>
      </c>
      <c r="AD161" s="171">
        <f t="shared" si="387"/>
        <v>0</v>
      </c>
      <c r="AE161" s="171">
        <f t="shared" si="388"/>
        <v>0</v>
      </c>
      <c r="AF161" s="171">
        <f t="shared" si="389"/>
        <v>0</v>
      </c>
      <c r="AH161" s="172">
        <f>IF(VLOOKUP(D161,'Pre-Assessment Estimator'!$E$11:$Z$224,'Pre-Assessment Estimator'!$G$2,FALSE)&gt;AA161,AA161,VLOOKUP(D161,'Pre-Assessment Estimator'!$E$11:$Z$224,'Pre-Assessment Estimator'!$G$2,FALSE))</f>
        <v>0</v>
      </c>
      <c r="AI161" s="172">
        <f>IF(VLOOKUP(D161,'Pre-Assessment Estimator'!$E$11:$Z$224,'Pre-Assessment Estimator'!$N$2,FALSE)&gt;AA161,AA161,VLOOKUP(D161,'Pre-Assessment Estimator'!$E$11:$Z$224,'Pre-Assessment Estimator'!$N$2,FALSE))</f>
        <v>0</v>
      </c>
      <c r="AJ161" s="172">
        <f>IF(VLOOKUP(D161,'Pre-Assessment Estimator'!$E$11:$Z$224,'Pre-Assessment Estimator'!$U$2,FALSE)&gt;AA161,AA161,VLOOKUP(D161,'Pre-Assessment Estimator'!$E$11:$Z$224,'Pre-Assessment Estimator'!$U$2,FALSE))</f>
        <v>0</v>
      </c>
      <c r="AL161" s="863"/>
      <c r="AM161" s="864"/>
      <c r="AN161" s="864"/>
      <c r="AO161" s="864">
        <v>1</v>
      </c>
      <c r="AP161" s="856">
        <v>1</v>
      </c>
      <c r="AQ161" s="139"/>
      <c r="AR161" s="863"/>
      <c r="AS161" s="864"/>
      <c r="AT161" s="864"/>
      <c r="AU161" s="864"/>
      <c r="AV161" s="856"/>
      <c r="AX161" s="742"/>
      <c r="AY161" s="744"/>
      <c r="AZ161" s="744"/>
      <c r="BA161" s="183">
        <f>IF($AA161=0,0,IF($D$6=$G$9,AU161,AO161))</f>
        <v>1</v>
      </c>
      <c r="BB161" s="183">
        <f>IF($AA161=0,0,IF($D$6=$G$9,AV161,AP161))</f>
        <v>1</v>
      </c>
      <c r="BC161" s="182">
        <f t="shared" si="59"/>
        <v>3</v>
      </c>
      <c r="BD161" s="164" t="str">
        <f t="shared" si="383"/>
        <v>Very Good</v>
      </c>
      <c r="BE161" s="185"/>
      <c r="BF161" s="182">
        <f>IF(BB161=0,9,IF(AI161&gt;=BB161,5,IF(AI161&gt;=BA161,4,IF(AI161&gt;=AZ161,3,IF(AI161&gt;=AY161,2,IF(AI161&lt;AX161,0,1))))))</f>
        <v>3</v>
      </c>
      <c r="BG161" s="164" t="str">
        <f t="shared" si="384"/>
        <v>Very Good</v>
      </c>
      <c r="BH161" s="185"/>
      <c r="BI161" s="182">
        <f t="shared" si="27"/>
        <v>3</v>
      </c>
      <c r="BJ161" s="164" t="str">
        <f t="shared" si="385"/>
        <v>Very Good</v>
      </c>
      <c r="BK161" s="860"/>
      <c r="BN161" s="167"/>
      <c r="BO161" s="167"/>
      <c r="BP161" s="167" t="str">
        <f t="shared" si="340"/>
        <v/>
      </c>
      <c r="BQ161" s="167">
        <f t="shared" si="393"/>
        <v>9</v>
      </c>
      <c r="BR161" s="167">
        <f t="shared" si="394"/>
        <v>9</v>
      </c>
      <c r="BS161" s="167">
        <f t="shared" si="395"/>
        <v>9</v>
      </c>
      <c r="BV161" s="167"/>
      <c r="BW161" s="167"/>
      <c r="BX161" s="167"/>
      <c r="BY161" s="167"/>
      <c r="BZ161" s="167"/>
      <c r="CA161" s="167"/>
    </row>
    <row r="162" spans="1:80" x14ac:dyDescent="0.25">
      <c r="A162" s="96">
        <v>154</v>
      </c>
      <c r="B162" s="137" t="str">
        <f>C162</f>
        <v>Wst 03b</v>
      </c>
      <c r="C162" s="847" t="s">
        <v>377</v>
      </c>
      <c r="D162" s="845" t="s">
        <v>800</v>
      </c>
      <c r="E162" s="947">
        <f>E163</f>
        <v>0</v>
      </c>
      <c r="F162" s="947">
        <f t="shared" ref="F162:Q162" si="406">F163</f>
        <v>0</v>
      </c>
      <c r="G162" s="947">
        <f t="shared" si="406"/>
        <v>1</v>
      </c>
      <c r="H162" s="947">
        <f t="shared" si="406"/>
        <v>0</v>
      </c>
      <c r="I162" s="947">
        <f t="shared" si="406"/>
        <v>0</v>
      </c>
      <c r="J162" s="947">
        <f t="shared" si="406"/>
        <v>0</v>
      </c>
      <c r="K162" s="947">
        <f t="shared" si="406"/>
        <v>0</v>
      </c>
      <c r="L162" s="947">
        <f t="shared" si="406"/>
        <v>0</v>
      </c>
      <c r="M162" s="947">
        <f t="shared" si="406"/>
        <v>0</v>
      </c>
      <c r="N162" s="947">
        <f t="shared" si="406"/>
        <v>0</v>
      </c>
      <c r="O162" s="947">
        <f t="shared" si="406"/>
        <v>0</v>
      </c>
      <c r="P162" s="947">
        <f t="shared" si="406"/>
        <v>0</v>
      </c>
      <c r="Q162" s="947">
        <f t="shared" si="406"/>
        <v>0</v>
      </c>
      <c r="S162" s="977">
        <f t="shared" si="397"/>
        <v>0</v>
      </c>
      <c r="T162" s="222"/>
      <c r="U162" s="230"/>
      <c r="V162" s="230"/>
      <c r="W162" s="230"/>
      <c r="X162" s="230"/>
      <c r="Y162" s="947">
        <f t="shared" ref="Y162" si="407">Y163</f>
        <v>1</v>
      </c>
      <c r="Z162" s="977">
        <f t="shared" si="399"/>
        <v>0</v>
      </c>
      <c r="AA162" s="1081">
        <f>SUM(AA163)</f>
        <v>0</v>
      </c>
      <c r="AC162" s="171">
        <f t="shared" si="377"/>
        <v>0</v>
      </c>
      <c r="AD162" s="935">
        <f>SUM(AD163)</f>
        <v>0</v>
      </c>
      <c r="AE162" s="935">
        <f t="shared" ref="AE162:AF162" si="408">SUM(AE163)</f>
        <v>0</v>
      </c>
      <c r="AF162" s="935">
        <f t="shared" si="408"/>
        <v>0</v>
      </c>
      <c r="AH162" s="947">
        <f t="shared" ref="AH162" si="409">AH163</f>
        <v>0</v>
      </c>
      <c r="AI162" s="947">
        <f t="shared" ref="AI162" si="410">AI163</f>
        <v>0</v>
      </c>
      <c r="AJ162" s="947">
        <f t="shared" ref="AJ162" si="411">AJ163</f>
        <v>0</v>
      </c>
      <c r="AL162" s="863"/>
      <c r="AM162" s="864"/>
      <c r="AN162" s="864"/>
      <c r="AO162" s="864"/>
      <c r="AP162" s="856"/>
      <c r="AQ162" s="139"/>
      <c r="AR162" s="863"/>
      <c r="AS162" s="864"/>
      <c r="AT162" s="864"/>
      <c r="AU162" s="864"/>
      <c r="AV162" s="856"/>
      <c r="AX162" s="742"/>
      <c r="AY162" s="744"/>
      <c r="AZ162" s="744"/>
      <c r="BA162" s="744"/>
      <c r="BB162" s="865"/>
      <c r="BC162" s="182">
        <f t="shared" si="59"/>
        <v>9</v>
      </c>
      <c r="BD162" s="164" t="str">
        <f t="shared" si="383"/>
        <v>N/A</v>
      </c>
      <c r="BE162" s="185"/>
      <c r="BF162" s="182">
        <f t="shared" si="404"/>
        <v>9</v>
      </c>
      <c r="BG162" s="164" t="str">
        <f t="shared" si="384"/>
        <v>N/A</v>
      </c>
      <c r="BH162" s="185"/>
      <c r="BI162" s="182">
        <f t="shared" si="27"/>
        <v>9</v>
      </c>
      <c r="BJ162" s="164" t="str">
        <f t="shared" si="385"/>
        <v>N/A</v>
      </c>
      <c r="BK162" s="860"/>
      <c r="BN162" s="167"/>
      <c r="BO162" s="167"/>
      <c r="BP162" s="167" t="str">
        <f t="shared" si="340"/>
        <v/>
      </c>
      <c r="BQ162" s="167">
        <f t="shared" si="393"/>
        <v>9</v>
      </c>
      <c r="BR162" s="167">
        <f t="shared" si="394"/>
        <v>9</v>
      </c>
      <c r="BS162" s="167">
        <f t="shared" si="395"/>
        <v>9</v>
      </c>
      <c r="BV162" s="167"/>
      <c r="BW162" s="167"/>
      <c r="BX162" s="167"/>
      <c r="BY162" s="167"/>
      <c r="BZ162" s="167"/>
      <c r="CA162" s="167"/>
    </row>
    <row r="163" spans="1:80" x14ac:dyDescent="0.25">
      <c r="A163" s="96">
        <v>155</v>
      </c>
      <c r="B163" s="96" t="str">
        <f t="shared" ref="B163" si="412">$C$162&amp;C163</f>
        <v>Wst 03ba</v>
      </c>
      <c r="C163" s="166" t="s">
        <v>696</v>
      </c>
      <c r="D163" s="1122" t="s">
        <v>671</v>
      </c>
      <c r="E163" s="788">
        <v>0</v>
      </c>
      <c r="F163" s="788">
        <v>0</v>
      </c>
      <c r="G163" s="1036">
        <v>1</v>
      </c>
      <c r="H163" s="788">
        <v>0</v>
      </c>
      <c r="I163" s="788">
        <v>0</v>
      </c>
      <c r="J163" s="788">
        <v>0</v>
      </c>
      <c r="K163" s="788">
        <v>0</v>
      </c>
      <c r="L163" s="788">
        <v>0</v>
      </c>
      <c r="M163" s="788">
        <v>0</v>
      </c>
      <c r="N163" s="788">
        <v>0</v>
      </c>
      <c r="O163" s="788">
        <v>0</v>
      </c>
      <c r="P163" s="788">
        <v>0</v>
      </c>
      <c r="Q163" s="788">
        <v>0</v>
      </c>
      <c r="S163" s="221">
        <f t="shared" si="397"/>
        <v>0</v>
      </c>
      <c r="T163" s="166"/>
      <c r="U163" s="167"/>
      <c r="V163" s="167"/>
      <c r="W163" s="167"/>
      <c r="X163" s="168"/>
      <c r="Y163" s="168">
        <f>VLOOKUP(B163,'Manuell filtrering og justering'!$A$7:$H$253,'Manuell filtrering og justering'!$H$1,FALSE)</f>
        <v>1</v>
      </c>
      <c r="Z163" s="169">
        <f t="shared" si="399"/>
        <v>0</v>
      </c>
      <c r="AA163" s="170">
        <f>IF($AB$5='Manuell filtrering og justering'!$J$2,Y163,(S163-Z163))</f>
        <v>0</v>
      </c>
      <c r="AC163" s="171">
        <f t="shared" si="377"/>
        <v>0</v>
      </c>
      <c r="AD163" s="171">
        <f t="shared" si="387"/>
        <v>0</v>
      </c>
      <c r="AE163" s="171">
        <f t="shared" si="388"/>
        <v>0</v>
      </c>
      <c r="AF163" s="171">
        <f t="shared" si="389"/>
        <v>0</v>
      </c>
      <c r="AH163" s="172">
        <f>IF(VLOOKUP(D163,'Pre-Assessment Estimator'!$E$11:$Z$224,'Pre-Assessment Estimator'!$G$2,FALSE)&gt;AA163,AA163,VLOOKUP(D163,'Pre-Assessment Estimator'!$E$11:$Z$224,'Pre-Assessment Estimator'!$G$2,FALSE))</f>
        <v>0</v>
      </c>
      <c r="AI163" s="172">
        <f>IF(VLOOKUP(D163,'Pre-Assessment Estimator'!$E$11:$Z$224,'Pre-Assessment Estimator'!$N$2,FALSE)&gt;AA163,AA163,VLOOKUP(D163,'Pre-Assessment Estimator'!$E$11:$Z$224,'Pre-Assessment Estimator'!$N$2,FALSE))</f>
        <v>0</v>
      </c>
      <c r="AJ163" s="172">
        <f>IF(VLOOKUP(D163,'Pre-Assessment Estimator'!$E$11:$Z$224,'Pre-Assessment Estimator'!$U$2,FALSE)&gt;AA163,AA163,VLOOKUP(D163,'Pre-Assessment Estimator'!$E$11:$Z$224,'Pre-Assessment Estimator'!$U$2,FALSE))</f>
        <v>0</v>
      </c>
      <c r="AL163" s="863"/>
      <c r="AM163" s="864"/>
      <c r="AN163" s="864"/>
      <c r="AO163" s="864"/>
      <c r="AP163" s="856"/>
      <c r="AQ163" s="139"/>
      <c r="AR163" s="863"/>
      <c r="AS163" s="864"/>
      <c r="AT163" s="864"/>
      <c r="AU163" s="864">
        <v>1</v>
      </c>
      <c r="AV163" s="856">
        <v>1</v>
      </c>
      <c r="AX163" s="742"/>
      <c r="AY163" s="744"/>
      <c r="AZ163" s="744"/>
      <c r="BA163" s="183">
        <f>IF($AA163=0,0,IF($D$6=$G$9,AU163,AO163))</f>
        <v>0</v>
      </c>
      <c r="BB163" s="183">
        <f>IF($AA163=0,0,IF($D$6=$G$9,AV163,AP163))</f>
        <v>0</v>
      </c>
      <c r="BC163" s="182">
        <f t="shared" ref="BC163" si="413">IF(BB163=0,9,IF(AH163&gt;=BB163,5,IF(AH163&gt;=BA163,4,IF(AH163&gt;=AZ163,3,IF(AH163&gt;=AY163,2,IF(AH163&lt;AX163,0,1))))))</f>
        <v>9</v>
      </c>
      <c r="BD163" s="164" t="str">
        <f t="shared" si="383"/>
        <v>N/A</v>
      </c>
      <c r="BE163" s="185"/>
      <c r="BF163" s="182">
        <f>IF(BB163=0,9,IF(AI163&gt;=BB163,5,IF(AI163&gt;=BA163,4,IF(AI163&gt;=AZ163,3,IF(AI163&gt;=AY163,2,IF(AI163&lt;AX163,0,1))))))</f>
        <v>9</v>
      </c>
      <c r="BG163" s="164" t="str">
        <f t="shared" si="384"/>
        <v>N/A</v>
      </c>
      <c r="BH163" s="185"/>
      <c r="BI163" s="182">
        <f t="shared" ref="BI163" si="414">IF(BB163=0,9,IF(AJ163&gt;=BB163,5,IF(AJ163&gt;=BA163,4,IF(AJ163&gt;=AZ163,3,IF(AJ163&gt;=AY163,2,IF(AJ163&lt;AX163,0,1))))))</f>
        <v>9</v>
      </c>
      <c r="BJ163" s="164" t="str">
        <f t="shared" si="385"/>
        <v>N/A</v>
      </c>
      <c r="BK163" s="860"/>
      <c r="BN163" s="167"/>
      <c r="BO163" s="167"/>
      <c r="BP163" s="167" t="str">
        <f t="shared" si="340"/>
        <v/>
      </c>
      <c r="BQ163" s="167">
        <f t="shared" si="393"/>
        <v>9</v>
      </c>
      <c r="BR163" s="167">
        <f t="shared" si="394"/>
        <v>9</v>
      </c>
      <c r="BS163" s="167">
        <f t="shared" si="395"/>
        <v>9</v>
      </c>
      <c r="BV163" s="167"/>
      <c r="BW163" s="167"/>
      <c r="BX163" s="167"/>
      <c r="BY163" s="167"/>
      <c r="BZ163" s="167"/>
      <c r="CA163" s="167"/>
    </row>
    <row r="164" spans="1:80" ht="15.75" thickBot="1" x14ac:dyDescent="0.3">
      <c r="A164" s="96">
        <v>156</v>
      </c>
      <c r="B164" s="137" t="str">
        <f>C164</f>
        <v>Wst 04</v>
      </c>
      <c r="C164" s="847" t="s">
        <v>181</v>
      </c>
      <c r="D164" s="845" t="s">
        <v>964</v>
      </c>
      <c r="E164" s="947">
        <f>E165</f>
        <v>1</v>
      </c>
      <c r="F164" s="947">
        <f t="shared" ref="F164:Q164" si="415">F165</f>
        <v>0</v>
      </c>
      <c r="G164" s="947">
        <f t="shared" si="415"/>
        <v>1</v>
      </c>
      <c r="H164" s="947">
        <f t="shared" si="415"/>
        <v>0</v>
      </c>
      <c r="I164" s="947">
        <f t="shared" si="415"/>
        <v>0</v>
      </c>
      <c r="J164" s="947">
        <f t="shared" si="415"/>
        <v>0</v>
      </c>
      <c r="K164" s="947">
        <f t="shared" si="415"/>
        <v>0</v>
      </c>
      <c r="L164" s="947">
        <f t="shared" si="415"/>
        <v>0</v>
      </c>
      <c r="M164" s="947">
        <f t="shared" si="415"/>
        <v>0</v>
      </c>
      <c r="N164" s="947">
        <f t="shared" si="415"/>
        <v>0</v>
      </c>
      <c r="O164" s="947">
        <f t="shared" si="415"/>
        <v>0</v>
      </c>
      <c r="P164" s="947">
        <f t="shared" si="415"/>
        <v>0</v>
      </c>
      <c r="Q164" s="947">
        <f t="shared" si="415"/>
        <v>0</v>
      </c>
      <c r="S164" s="977">
        <f t="shared" si="397"/>
        <v>1</v>
      </c>
      <c r="T164" s="222">
        <f>T165</f>
        <v>0</v>
      </c>
      <c r="U164" s="230"/>
      <c r="V164" s="230"/>
      <c r="W164" s="230">
        <f>'Manuell filtrering og justering'!E71</f>
        <v>0</v>
      </c>
      <c r="X164" s="230"/>
      <c r="Y164" s="947">
        <f t="shared" ref="Y164" si="416">Y165</f>
        <v>1</v>
      </c>
      <c r="Z164" s="977">
        <f t="shared" si="399"/>
        <v>0</v>
      </c>
      <c r="AA164" s="1081">
        <f>SUM(AA165)</f>
        <v>1</v>
      </c>
      <c r="AC164" s="171">
        <f t="shared" si="377"/>
        <v>0.01</v>
      </c>
      <c r="AD164" s="935">
        <f>SUM(AD165)</f>
        <v>0</v>
      </c>
      <c r="AE164" s="935">
        <f t="shared" ref="AE164:AF164" si="417">SUM(AE165)</f>
        <v>0</v>
      </c>
      <c r="AF164" s="935">
        <f t="shared" si="417"/>
        <v>0</v>
      </c>
      <c r="AH164" s="947">
        <f t="shared" ref="AH164" si="418">AH165</f>
        <v>0</v>
      </c>
      <c r="AI164" s="947">
        <f t="shared" ref="AI164" si="419">AI165</f>
        <v>0</v>
      </c>
      <c r="AJ164" s="947">
        <f t="shared" ref="AJ164" si="420">AJ165</f>
        <v>0</v>
      </c>
      <c r="AL164" s="295"/>
      <c r="AM164" s="296"/>
      <c r="AN164" s="296"/>
      <c r="AO164" s="296"/>
      <c r="AP164" s="297"/>
      <c r="AQ164" s="139"/>
      <c r="AR164" s="295"/>
      <c r="AS164" s="296"/>
      <c r="AT164" s="296"/>
      <c r="AU164" s="296"/>
      <c r="AV164" s="297"/>
      <c r="AX164" s="194"/>
      <c r="AY164" s="196"/>
      <c r="AZ164" s="196"/>
      <c r="BA164" s="196"/>
      <c r="BB164" s="197"/>
      <c r="BC164" s="198">
        <f t="shared" si="59"/>
        <v>9</v>
      </c>
      <c r="BD164" s="164" t="str">
        <f t="shared" si="383"/>
        <v>N/A</v>
      </c>
      <c r="BE164" s="200"/>
      <c r="BF164" s="198">
        <f>IF(BB164=0,9,IF(AI164&gt;=BB164,5,IF(AI164&gt;=BA164,4,IF(AI164&gt;=AZ164,3,IF(AI164&gt;=AY164,2,IF(AI164&lt;AX164,0,1))))))</f>
        <v>9</v>
      </c>
      <c r="BG164" s="164" t="str">
        <f t="shared" si="384"/>
        <v>N/A</v>
      </c>
      <c r="BH164" s="200"/>
      <c r="BI164" s="198">
        <f t="shared" si="27"/>
        <v>9</v>
      </c>
      <c r="BJ164" s="164" t="str">
        <f t="shared" si="385"/>
        <v>N/A</v>
      </c>
      <c r="BK164" s="200"/>
      <c r="BN164" s="167"/>
      <c r="BO164" s="167"/>
      <c r="BP164" s="167" t="str">
        <f t="shared" si="340"/>
        <v/>
      </c>
      <c r="BQ164" s="167">
        <f t="shared" si="393"/>
        <v>9</v>
      </c>
      <c r="BR164" s="167">
        <f t="shared" si="394"/>
        <v>9</v>
      </c>
      <c r="BS164" s="167">
        <f t="shared" si="395"/>
        <v>9</v>
      </c>
      <c r="BV164" s="167" t="str">
        <f>C164</f>
        <v>Wst 04</v>
      </c>
      <c r="BW164" s="167" t="str">
        <f>IFERROR(VLOOKUP($D164,'Pre-Assessment Estimator'!$E$11:$AB$224,'Pre-Assessment Estimator'!AB$2,FALSE),"")</f>
        <v>No</v>
      </c>
      <c r="BX164" s="167">
        <f>IFERROR(VLOOKUP($D164,'Pre-Assessment Estimator'!$E$11:$AI$224,'Pre-Assessment Estimator'!AI$2,FALSE),"")</f>
        <v>0</v>
      </c>
      <c r="BY164" s="167">
        <f>IFERROR(VLOOKUP($BW164,$D$291:$G$324,E$289,FALSE),"")</f>
        <v>1</v>
      </c>
      <c r="BZ164" s="167">
        <f>IFERROR(VLOOKUP($BW164,$D$291:$G$324,F$289,FALSE),"")</f>
        <v>0</v>
      </c>
      <c r="CA164" s="167"/>
      <c r="CB164" s="96" t="str">
        <f>IFERROR(VLOOKUP($BW164,$D$291:$G$324,H$289,FALSE),"")</f>
        <v/>
      </c>
    </row>
    <row r="165" spans="1:80" ht="15.75" thickBot="1" x14ac:dyDescent="0.3">
      <c r="A165" s="96">
        <v>157</v>
      </c>
      <c r="B165" s="96" t="str">
        <f>$C$164&amp;C165</f>
        <v>Wst 04a</v>
      </c>
      <c r="C165" s="231" t="s">
        <v>696</v>
      </c>
      <c r="D165" s="1122" t="s">
        <v>672</v>
      </c>
      <c r="E165" s="957">
        <v>1</v>
      </c>
      <c r="F165" s="1141">
        <v>0</v>
      </c>
      <c r="G165" s="957">
        <v>1</v>
      </c>
      <c r="H165" s="1141">
        <v>0</v>
      </c>
      <c r="I165" s="1141">
        <v>0</v>
      </c>
      <c r="J165" s="1141">
        <v>0</v>
      </c>
      <c r="K165" s="1141">
        <v>0</v>
      </c>
      <c r="L165" s="1141">
        <v>0</v>
      </c>
      <c r="M165" s="1141">
        <v>0</v>
      </c>
      <c r="N165" s="1141">
        <v>0</v>
      </c>
      <c r="O165" s="1141">
        <v>0</v>
      </c>
      <c r="P165" s="1141">
        <v>0</v>
      </c>
      <c r="Q165" s="1141">
        <v>0</v>
      </c>
      <c r="S165" s="221">
        <f t="shared" si="397"/>
        <v>1</v>
      </c>
      <c r="T165" s="192">
        <f>IF(AND(ADBT0=ADBT12,'Assessment Details'!F6&lt;&gt;'Assessment Details'!V8),Poeng!S165,0)</f>
        <v>0</v>
      </c>
      <c r="U165" s="193"/>
      <c r="V165" s="193"/>
      <c r="W165" s="193"/>
      <c r="X165" s="169">
        <f>IF($X$4=$X$6,S165,0)</f>
        <v>0</v>
      </c>
      <c r="Y165" s="168">
        <f>VLOOKUP(B165,'Manuell filtrering og justering'!$A$7:$H$253,'Manuell filtrering og justering'!$H$1,FALSE)</f>
        <v>1</v>
      </c>
      <c r="Z165" s="169">
        <f t="shared" si="399"/>
        <v>0</v>
      </c>
      <c r="AA165" s="170">
        <f>IF($AB$5='Manuell filtrering og justering'!$J$2,Y165,(S165-Z165))</f>
        <v>1</v>
      </c>
      <c r="AC165" s="171">
        <f t="shared" si="377"/>
        <v>0.01</v>
      </c>
      <c r="AD165" s="171">
        <f t="shared" si="387"/>
        <v>0</v>
      </c>
      <c r="AE165" s="171">
        <f t="shared" si="388"/>
        <v>0</v>
      </c>
      <c r="AF165" s="171">
        <f t="shared" si="389"/>
        <v>0</v>
      </c>
      <c r="AH165" s="172">
        <f>IF(VLOOKUP(D165,'Pre-Assessment Estimator'!$E$11:$Z$224,'Pre-Assessment Estimator'!$G$2,FALSE)&gt;AA165,AA165,VLOOKUP(D165,'Pre-Assessment Estimator'!$E$11:$Z$224,'Pre-Assessment Estimator'!$G$2,FALSE))</f>
        <v>0</v>
      </c>
      <c r="AI165" s="172">
        <f>IF(VLOOKUP(D165,'Pre-Assessment Estimator'!$E$11:$Z$224,'Pre-Assessment Estimator'!$N$2,FALSE)&gt;AA165,AA165,VLOOKUP(D165,'Pre-Assessment Estimator'!$E$11:$Z$224,'Pre-Assessment Estimator'!$N$2,FALSE))</f>
        <v>0</v>
      </c>
      <c r="AJ165" s="172">
        <f>IF(VLOOKUP(D165,'Pre-Assessment Estimator'!$E$11:$Z$224,'Pre-Assessment Estimator'!$U$2,FALSE)&gt;AA165,AA165,VLOOKUP(D165,'Pre-Assessment Estimator'!$E$11:$Z$224,'Pre-Assessment Estimator'!$U$2,FALSE))</f>
        <v>0</v>
      </c>
      <c r="AL165" s="295"/>
      <c r="AM165" s="296"/>
      <c r="AN165" s="296"/>
      <c r="AO165" s="296"/>
      <c r="AP165" s="297"/>
      <c r="AQ165" s="139"/>
      <c r="AR165" s="295"/>
      <c r="AS165" s="296"/>
      <c r="AT165" s="296"/>
      <c r="AU165" s="296"/>
      <c r="AV165" s="297"/>
      <c r="AX165" s="194"/>
      <c r="AY165" s="196"/>
      <c r="AZ165" s="196"/>
      <c r="BA165" s="196"/>
      <c r="BB165" s="197"/>
      <c r="BC165" s="198">
        <f t="shared" ref="BC165" si="421">IF(BB165=0,9,IF(AH165&gt;=BB165,5,IF(AH165&gt;=BA165,4,IF(AH165&gt;=AZ165,3,IF(AH165&gt;=AY165,2,IF(AH165&lt;AX165,0,1))))))</f>
        <v>9</v>
      </c>
      <c r="BD165" s="164" t="str">
        <f t="shared" si="383"/>
        <v>N/A</v>
      </c>
      <c r="BE165" s="200"/>
      <c r="BF165" s="198">
        <f>IF(BB165=0,9,IF(AI165&gt;=BB165,5,IF(AI165&gt;=BA165,4,IF(AI165&gt;=AZ165,3,IF(AI165&gt;=AY165,2,IF(AI165&lt;AX165,0,1))))))</f>
        <v>9</v>
      </c>
      <c r="BG165" s="164" t="str">
        <f t="shared" si="384"/>
        <v>N/A</v>
      </c>
      <c r="BH165" s="200"/>
      <c r="BI165" s="198">
        <f t="shared" ref="BI165" si="422">IF(BB165=0,9,IF(AJ165&gt;=BB165,5,IF(AJ165&gt;=BA165,4,IF(AJ165&gt;=AZ165,3,IF(AJ165&gt;=AY165,2,IF(AJ165&lt;AX165,0,1))))))</f>
        <v>9</v>
      </c>
      <c r="BJ165" s="164" t="str">
        <f t="shared" si="385"/>
        <v>N/A</v>
      </c>
      <c r="BK165" s="200"/>
      <c r="BN165" s="167"/>
      <c r="BO165" s="167"/>
      <c r="BP165" s="167" t="str">
        <f t="shared" si="340"/>
        <v/>
      </c>
      <c r="BQ165" s="167">
        <f t="shared" si="393"/>
        <v>9</v>
      </c>
      <c r="BR165" s="167">
        <f t="shared" si="394"/>
        <v>9</v>
      </c>
      <c r="BS165" s="167">
        <f t="shared" si="395"/>
        <v>9</v>
      </c>
      <c r="BV165" s="314"/>
      <c r="BW165" s="314"/>
      <c r="BX165" s="314"/>
      <c r="BY165" s="314"/>
      <c r="BZ165" s="314"/>
      <c r="CA165" s="314"/>
    </row>
    <row r="166" spans="1:80" ht="15.75" thickBot="1" x14ac:dyDescent="0.3">
      <c r="A166" s="96">
        <v>158</v>
      </c>
      <c r="B166" s="96" t="s">
        <v>892</v>
      </c>
      <c r="C166" s="201"/>
      <c r="D166" s="202" t="s">
        <v>216</v>
      </c>
      <c r="E166" s="786">
        <f>E155+E160+E162+E164</f>
        <v>7</v>
      </c>
      <c r="F166" s="786">
        <f t="shared" ref="F166:Q166" si="423">F155+F160+F162+F164</f>
        <v>6</v>
      </c>
      <c r="G166" s="786">
        <f t="shared" si="423"/>
        <v>7</v>
      </c>
      <c r="H166" s="786">
        <f t="shared" si="423"/>
        <v>6</v>
      </c>
      <c r="I166" s="786">
        <f t="shared" si="423"/>
        <v>6</v>
      </c>
      <c r="J166" s="786">
        <f t="shared" si="423"/>
        <v>6</v>
      </c>
      <c r="K166" s="786">
        <f t="shared" si="423"/>
        <v>6</v>
      </c>
      <c r="L166" s="786">
        <f t="shared" si="423"/>
        <v>6</v>
      </c>
      <c r="M166" s="786">
        <f t="shared" si="423"/>
        <v>6</v>
      </c>
      <c r="N166" s="786">
        <f t="shared" si="423"/>
        <v>6</v>
      </c>
      <c r="O166" s="786">
        <f t="shared" si="423"/>
        <v>6</v>
      </c>
      <c r="P166" s="786">
        <f t="shared" ref="P166" si="424">P155+P160+P162+P164</f>
        <v>6</v>
      </c>
      <c r="Q166" s="786">
        <f t="shared" si="423"/>
        <v>6</v>
      </c>
      <c r="S166" s="226">
        <f t="shared" si="397"/>
        <v>7</v>
      </c>
      <c r="T166" s="204"/>
      <c r="U166" s="205"/>
      <c r="V166" s="205"/>
      <c r="W166" s="205"/>
      <c r="X166" s="206"/>
      <c r="Y166" s="206"/>
      <c r="Z166" s="786">
        <f t="shared" ref="Z166:AF166" si="425">Z155+Z160+Z162+Z164</f>
        <v>0</v>
      </c>
      <c r="AA166" s="786">
        <f t="shared" si="425"/>
        <v>7</v>
      </c>
      <c r="AC166" s="208">
        <f t="shared" si="425"/>
        <v>7.0000000000000007E-2</v>
      </c>
      <c r="AD166" s="208">
        <f t="shared" si="425"/>
        <v>0</v>
      </c>
      <c r="AE166" s="208">
        <f t="shared" si="425"/>
        <v>0</v>
      </c>
      <c r="AF166" s="208">
        <f t="shared" si="425"/>
        <v>0</v>
      </c>
      <c r="AH166" s="78">
        <f t="shared" ref="AH166:AJ166" si="426">AH155+AH160+AH162+AH164</f>
        <v>0</v>
      </c>
      <c r="AI166" s="78">
        <f t="shared" si="426"/>
        <v>0</v>
      </c>
      <c r="AJ166" s="78">
        <f t="shared" si="426"/>
        <v>0</v>
      </c>
      <c r="AL166" s="139"/>
      <c r="AM166" s="139"/>
      <c r="AN166" s="139"/>
      <c r="AO166" s="139"/>
      <c r="AP166" s="139"/>
      <c r="AQ166" s="139"/>
      <c r="AR166" s="139"/>
      <c r="AS166" s="139"/>
      <c r="AT166" s="139"/>
      <c r="AU166" s="139"/>
      <c r="AV166" s="139"/>
      <c r="AX166" s="97"/>
      <c r="AY166" s="209"/>
      <c r="AZ166" s="97"/>
      <c r="BA166" s="97"/>
      <c r="BB166" s="97"/>
      <c r="BV166" s="202"/>
      <c r="BW166" s="202" t="str">
        <f>IFERROR(VLOOKUP($D166,'Pre-Assessment Estimator'!$E$11:$AB$224,'Pre-Assessment Estimator'!AB$2,FALSE),"")</f>
        <v/>
      </c>
      <c r="BX166" s="202" t="str">
        <f>IFERROR(VLOOKUP($D166,'Pre-Assessment Estimator'!$E$11:$AI$224,'Pre-Assessment Estimator'!AI$2,FALSE),"")</f>
        <v/>
      </c>
      <c r="BY166" s="202" t="str">
        <f t="shared" ref="BY166:BZ169" si="427">IFERROR(VLOOKUP($BW166,$D$291:$G$324,E$289,FALSE),"")</f>
        <v/>
      </c>
      <c r="BZ166" s="202" t="str">
        <f t="shared" si="427"/>
        <v/>
      </c>
      <c r="CA166" s="202"/>
      <c r="CB166" s="96" t="str">
        <f>IFERROR(VLOOKUP($BW166,$D$291:$G$324,H$289,FALSE),"")</f>
        <v/>
      </c>
    </row>
    <row r="167" spans="1:80" ht="15.75" thickBot="1" x14ac:dyDescent="0.3">
      <c r="A167" s="96">
        <v>159</v>
      </c>
      <c r="AH167" s="3"/>
      <c r="AI167" s="3"/>
      <c r="AJ167" s="3"/>
      <c r="AL167" s="139"/>
      <c r="AM167" s="139"/>
      <c r="AN167" s="139"/>
      <c r="AO167" s="139"/>
      <c r="AP167" s="139"/>
      <c r="AQ167" s="139"/>
      <c r="AR167" s="139"/>
      <c r="AS167" s="139"/>
      <c r="AT167" s="139"/>
      <c r="AU167" s="139"/>
      <c r="AV167" s="139"/>
      <c r="AX167" s="97"/>
      <c r="AY167" s="97"/>
      <c r="AZ167" s="97"/>
      <c r="BA167" s="97"/>
      <c r="BB167" s="97"/>
      <c r="BW167" s="96" t="str">
        <f>IFERROR(VLOOKUP($D167,'Pre-Assessment Estimator'!$E$11:$AB$224,'Pre-Assessment Estimator'!AB$2,FALSE),"")</f>
        <v/>
      </c>
      <c r="BX167" s="96" t="str">
        <f>IFERROR(VLOOKUP($D167,'Pre-Assessment Estimator'!$E$11:$AI$224,'Pre-Assessment Estimator'!AI$2,FALSE),"")</f>
        <v/>
      </c>
      <c r="BY167" s="96" t="str">
        <f t="shared" si="427"/>
        <v/>
      </c>
      <c r="BZ167" s="96" t="str">
        <f t="shared" si="427"/>
        <v/>
      </c>
      <c r="CB167" s="96" t="str">
        <f>IFERROR(VLOOKUP($BW167,$D$291:$G$324,H$289,FALSE),"")</f>
        <v/>
      </c>
    </row>
    <row r="168" spans="1:80" ht="60.75" thickBot="1" x14ac:dyDescent="0.3">
      <c r="A168" s="96">
        <v>160</v>
      </c>
      <c r="C168" s="151"/>
      <c r="D168" s="152" t="s">
        <v>227</v>
      </c>
      <c r="E168" s="870" t="str">
        <f>$E$9</f>
        <v>Office</v>
      </c>
      <c r="F168" s="870" t="str">
        <f>$F$9</f>
        <v>Retail</v>
      </c>
      <c r="G168" s="870" t="str">
        <f>$G$9</f>
        <v>Residential</v>
      </c>
      <c r="H168" s="870" t="str">
        <f>$H$9</f>
        <v>Industrial</v>
      </c>
      <c r="I168" s="870" t="str">
        <f>$I$9</f>
        <v>Healthcare</v>
      </c>
      <c r="J168" s="870" t="str">
        <f>$J$9</f>
        <v>Prison</v>
      </c>
      <c r="K168" s="870" t="str">
        <f>$K$9</f>
        <v>Law Court</v>
      </c>
      <c r="L168" s="870" t="str">
        <f>$L$9</f>
        <v>Residential institution (long term stay)</v>
      </c>
      <c r="M168" s="870" t="str">
        <f>$M$9</f>
        <v>Residential institution (short term stay)</v>
      </c>
      <c r="N168" s="870" t="str">
        <f>$N$9</f>
        <v>Non-residential institution</v>
      </c>
      <c r="O168" s="870" t="str">
        <f>$O$9</f>
        <v>Assembly and leisure</v>
      </c>
      <c r="P168" s="779" t="str">
        <f>$P$9</f>
        <v>Education</v>
      </c>
      <c r="Q168" s="871" t="str">
        <f>$Q$9</f>
        <v>Other</v>
      </c>
      <c r="S168" s="138" t="str">
        <f>$D$6</f>
        <v>Office</v>
      </c>
      <c r="T168" s="210"/>
      <c r="U168" s="211"/>
      <c r="V168" s="211"/>
      <c r="W168" s="211"/>
      <c r="X168" s="1182" t="s">
        <v>414</v>
      </c>
      <c r="Y168" s="347" t="s">
        <v>337</v>
      </c>
      <c r="Z168" s="150" t="s">
        <v>216</v>
      </c>
      <c r="AA168" s="59" t="s">
        <v>16</v>
      </c>
      <c r="AH168" s="42"/>
      <c r="AI168" s="60"/>
      <c r="AJ168" s="60"/>
      <c r="AL168" s="139"/>
      <c r="AM168" s="139"/>
      <c r="AN168" s="139"/>
      <c r="AO168" s="139"/>
      <c r="AP168" s="139"/>
      <c r="AQ168" s="139"/>
      <c r="AR168" s="139"/>
      <c r="AS168" s="139"/>
      <c r="AT168" s="139"/>
      <c r="AU168" s="139"/>
      <c r="AV168" s="139"/>
      <c r="AX168" s="97"/>
      <c r="AY168" s="97"/>
      <c r="AZ168" s="97"/>
      <c r="BA168" s="97"/>
      <c r="BB168" s="97"/>
      <c r="BN168" s="60"/>
      <c r="BO168" s="60"/>
      <c r="BP168" s="60"/>
      <c r="BQ168" s="60"/>
      <c r="BR168" s="60"/>
      <c r="BS168" s="60"/>
      <c r="BV168" s="146"/>
      <c r="BW168" s="146" t="str">
        <f>D168</f>
        <v>Land &amp; Ecology</v>
      </c>
      <c r="BX168" s="146" t="str">
        <f>IFERROR(VLOOKUP($D168,'Pre-Assessment Estimator'!$E$11:$AI$224,'Pre-Assessment Estimator'!AI$2,FALSE),"")</f>
        <v/>
      </c>
      <c r="BY168" s="146" t="str">
        <f t="shared" si="427"/>
        <v/>
      </c>
      <c r="BZ168" s="146" t="str">
        <f t="shared" si="427"/>
        <v/>
      </c>
      <c r="CA168" s="146"/>
      <c r="CB168" s="96" t="str">
        <f>IFERROR(VLOOKUP($BW168,$D$291:$G$324,H$289,FALSE),"")</f>
        <v/>
      </c>
    </row>
    <row r="169" spans="1:80" x14ac:dyDescent="0.25">
      <c r="A169" s="96">
        <v>161</v>
      </c>
      <c r="B169" s="137" t="str">
        <f>C169</f>
        <v>LE 01</v>
      </c>
      <c r="C169" s="872" t="s">
        <v>182</v>
      </c>
      <c r="D169" s="873" t="s">
        <v>162</v>
      </c>
      <c r="E169" s="947">
        <f>E170</f>
        <v>2</v>
      </c>
      <c r="F169" s="947">
        <f t="shared" ref="F169:Q169" si="428">F170</f>
        <v>2</v>
      </c>
      <c r="G169" s="947">
        <f t="shared" si="428"/>
        <v>2</v>
      </c>
      <c r="H169" s="947">
        <f t="shared" si="428"/>
        <v>2</v>
      </c>
      <c r="I169" s="947">
        <f t="shared" si="428"/>
        <v>2</v>
      </c>
      <c r="J169" s="947">
        <f t="shared" si="428"/>
        <v>2</v>
      </c>
      <c r="K169" s="947">
        <f t="shared" si="428"/>
        <v>2</v>
      </c>
      <c r="L169" s="947">
        <f t="shared" si="428"/>
        <v>2</v>
      </c>
      <c r="M169" s="947">
        <f t="shared" si="428"/>
        <v>2</v>
      </c>
      <c r="N169" s="947">
        <f t="shared" si="428"/>
        <v>2</v>
      </c>
      <c r="O169" s="947">
        <f t="shared" si="428"/>
        <v>2</v>
      </c>
      <c r="P169" s="947">
        <f t="shared" si="428"/>
        <v>2</v>
      </c>
      <c r="Q169" s="947">
        <f t="shared" si="428"/>
        <v>2</v>
      </c>
      <c r="S169" s="975">
        <f t="shared" ref="S169:S197" si="429">HLOOKUP($D$6,$E$9:$Q$231,$A169,FALSE)</f>
        <v>2</v>
      </c>
      <c r="T169" s="222"/>
      <c r="U169" s="230"/>
      <c r="V169" s="230"/>
      <c r="W169" s="230">
        <f>'Manuell filtrering og justering'!E75</f>
        <v>0</v>
      </c>
      <c r="X169" s="230"/>
      <c r="Y169" s="972">
        <f t="shared" ref="Y169" si="430">Y170</f>
        <v>1</v>
      </c>
      <c r="Z169" s="977">
        <f t="shared" ref="Z169:Z196" si="431">IF(SUM(T169:X169)&gt;S169,S169,SUM(T169:X169))</f>
        <v>0</v>
      </c>
      <c r="AA169" s="1081">
        <f>SUM(AA170)</f>
        <v>2</v>
      </c>
      <c r="AC169" s="171">
        <f t="shared" ref="AC169:AC196" si="432">(LE_Weight/LE_Credits)*AA169</f>
        <v>1.5789473684210527E-2</v>
      </c>
      <c r="AD169" s="935">
        <f>SUM(AD170)</f>
        <v>0</v>
      </c>
      <c r="AE169" s="935">
        <f t="shared" ref="AE169" si="433">SUM(AE170)</f>
        <v>0</v>
      </c>
      <c r="AF169" s="935">
        <f t="shared" ref="AF169" si="434">SUM(AF170)</f>
        <v>0</v>
      </c>
      <c r="AH169" s="972">
        <f t="shared" ref="AH169" si="435">AH170</f>
        <v>0</v>
      </c>
      <c r="AI169" s="972">
        <f t="shared" ref="AI169" si="436">AI170</f>
        <v>0</v>
      </c>
      <c r="AJ169" s="972">
        <f t="shared" ref="AJ169" si="437">AJ170</f>
        <v>0</v>
      </c>
      <c r="AL169" s="298"/>
      <c r="AM169" s="299"/>
      <c r="AN169" s="299"/>
      <c r="AO169" s="299"/>
      <c r="AP169" s="300"/>
      <c r="AQ169" s="139"/>
      <c r="AR169" s="298"/>
      <c r="AS169" s="299"/>
      <c r="AT169" s="299"/>
      <c r="AU169" s="299"/>
      <c r="AV169" s="300"/>
      <c r="AX169" s="218"/>
      <c r="AY169" s="219"/>
      <c r="AZ169" s="219"/>
      <c r="BA169" s="219"/>
      <c r="BB169" s="220"/>
      <c r="BC169" s="174">
        <f t="shared" si="59"/>
        <v>9</v>
      </c>
      <c r="BD169" s="164" t="str">
        <f t="shared" ref="BD169:BD196" si="438">VLOOKUP(BC169,$BN$282:$BS$288,6,FALSE)</f>
        <v>N/A</v>
      </c>
      <c r="BE169" s="178"/>
      <c r="BF169" s="174">
        <f t="shared" ref="BF169:BF172" si="439">IF(BB169=0,9,IF(AI169&gt;=BB169,5,IF(AI169&gt;=BA169,4,IF(AI169&gt;=AZ169,3,IF(AI169&gt;=AY169,2,IF(AI169&lt;AX169,0,1))))))</f>
        <v>9</v>
      </c>
      <c r="BG169" s="164" t="str">
        <f t="shared" ref="BG169:BG196" si="440">VLOOKUP(BF169,$BN$282:$BS$288,6,FALSE)</f>
        <v>N/A</v>
      </c>
      <c r="BH169" s="178"/>
      <c r="BI169" s="174">
        <f t="shared" ref="BI169:BI225" si="441">IF(BB169=0,9,IF(AJ169&gt;=BB169,5,IF(AJ169&gt;=BA169,4,IF(AJ169&gt;=AZ169,3,IF(AJ169&gt;=AY169,2,IF(AJ169&lt;AX169,0,1))))))</f>
        <v>9</v>
      </c>
      <c r="BJ169" s="164" t="str">
        <f t="shared" ref="BJ169:BJ196" si="442">VLOOKUP(BI169,$BN$282:$BS$288,6,FALSE)</f>
        <v>N/A</v>
      </c>
      <c r="BK169" s="178"/>
      <c r="BN169" s="167"/>
      <c r="BO169" s="167"/>
      <c r="BP169" s="167" t="str">
        <f t="shared" si="340"/>
        <v/>
      </c>
      <c r="BQ169" s="167">
        <f t="shared" si="393"/>
        <v>9</v>
      </c>
      <c r="BR169" s="167">
        <f t="shared" si="394"/>
        <v>9</v>
      </c>
      <c r="BS169" s="167">
        <f t="shared" si="395"/>
        <v>9</v>
      </c>
      <c r="BV169" s="164" t="str">
        <f>C169</f>
        <v>LE 01</v>
      </c>
      <c r="BW169" s="164" t="str">
        <f>IFERROR(VLOOKUP($D169,'Pre-Assessment Estimator'!$E$11:$AB$224,'Pre-Assessment Estimator'!AB$2,FALSE),"")</f>
        <v>N/A</v>
      </c>
      <c r="BX169" s="164">
        <f>IFERROR(VLOOKUP($D169,'Pre-Assessment Estimator'!$E$11:$AI$224,'Pre-Assessment Estimator'!AI$2,FALSE),"")</f>
        <v>0</v>
      </c>
      <c r="BY169" s="164">
        <f t="shared" si="427"/>
        <v>1</v>
      </c>
      <c r="BZ169" s="164">
        <f t="shared" si="427"/>
        <v>0</v>
      </c>
      <c r="CA169" s="164"/>
      <c r="CB169" s="96" t="str">
        <f>IFERROR(VLOOKUP($BW169,$D$291:$G$324,H$289,FALSE),"")</f>
        <v/>
      </c>
    </row>
    <row r="170" spans="1:80" x14ac:dyDescent="0.25">
      <c r="A170" s="96">
        <v>162</v>
      </c>
      <c r="B170" s="96" t="str">
        <f t="shared" ref="B170" si="443">$C$169&amp;C170</f>
        <v>LE 01a</v>
      </c>
      <c r="C170" s="166" t="s">
        <v>696</v>
      </c>
      <c r="D170" s="1122" t="s">
        <v>674</v>
      </c>
      <c r="E170" s="788">
        <v>2</v>
      </c>
      <c r="F170" s="788">
        <v>2</v>
      </c>
      <c r="G170" s="788">
        <v>2</v>
      </c>
      <c r="H170" s="788">
        <v>2</v>
      </c>
      <c r="I170" s="788">
        <v>2</v>
      </c>
      <c r="J170" s="788">
        <v>2</v>
      </c>
      <c r="K170" s="788">
        <v>2</v>
      </c>
      <c r="L170" s="788">
        <v>2</v>
      </c>
      <c r="M170" s="788">
        <v>2</v>
      </c>
      <c r="N170" s="788">
        <v>2</v>
      </c>
      <c r="O170" s="788">
        <v>2</v>
      </c>
      <c r="P170" s="788">
        <v>2</v>
      </c>
      <c r="Q170" s="788">
        <v>2</v>
      </c>
      <c r="S170" s="221">
        <f t="shared" si="429"/>
        <v>2</v>
      </c>
      <c r="T170" s="166"/>
      <c r="U170" s="167"/>
      <c r="V170" s="167"/>
      <c r="W170" s="167"/>
      <c r="X170" s="168"/>
      <c r="Y170" s="168">
        <f>VLOOKUP(B170,'Manuell filtrering og justering'!$A$7:$H$253,'Manuell filtrering og justering'!$H$1,FALSE)</f>
        <v>1</v>
      </c>
      <c r="Z170" s="169">
        <f t="shared" si="431"/>
        <v>0</v>
      </c>
      <c r="AA170" s="170">
        <f>IF($AB$5='Manuell filtrering og justering'!$J$2,Y170,(S170-Z170))</f>
        <v>2</v>
      </c>
      <c r="AC170" s="171">
        <f t="shared" si="432"/>
        <v>1.5789473684210527E-2</v>
      </c>
      <c r="AD170" s="171">
        <f t="shared" ref="AD170:AD196" si="444">IF(AA170=0,0,(AC170/AA170)*AH170)</f>
        <v>0</v>
      </c>
      <c r="AE170" s="171">
        <f t="shared" ref="AE170:AE196" si="445">IF(AA170=0,0,(AC170/AA170)*AI170)</f>
        <v>0</v>
      </c>
      <c r="AF170" s="171">
        <f t="shared" ref="AF170:AF196" si="446">IF(AA170=0,0,(AC170/AA170)*AJ170)</f>
        <v>0</v>
      </c>
      <c r="AH170" s="172">
        <f>IF(VLOOKUP(D170,'Pre-Assessment Estimator'!$E$11:$Z$224,'Pre-Assessment Estimator'!$G$2,FALSE)&gt;AA170,AA170,VLOOKUP(D170,'Pre-Assessment Estimator'!$E$11:$Z$224,'Pre-Assessment Estimator'!$G$2,FALSE))</f>
        <v>0</v>
      </c>
      <c r="AI170" s="172">
        <f>IF(VLOOKUP(D170,'Pre-Assessment Estimator'!$E$11:$Z$224,'Pre-Assessment Estimator'!$N$2,FALSE)&gt;AA170,AA170,VLOOKUP(D170,'Pre-Assessment Estimator'!$E$11:$Z$224,'Pre-Assessment Estimator'!$N$2,FALSE))</f>
        <v>0</v>
      </c>
      <c r="AJ170" s="172">
        <f>IF(VLOOKUP(D170,'Pre-Assessment Estimator'!$E$11:$Z$224,'Pre-Assessment Estimator'!$U$2,FALSE)&gt;AA170,AA170,VLOOKUP(D170,'Pre-Assessment Estimator'!$E$11:$Z$224,'Pre-Assessment Estimator'!$U$2,FALSE))</f>
        <v>0</v>
      </c>
      <c r="AL170" s="848"/>
      <c r="AM170" s="849"/>
      <c r="AN170" s="849"/>
      <c r="AO170" s="849"/>
      <c r="AP170" s="850"/>
      <c r="AQ170" s="139"/>
      <c r="AR170" s="848"/>
      <c r="AS170" s="849"/>
      <c r="AT170" s="849"/>
      <c r="AU170" s="849"/>
      <c r="AV170" s="850"/>
      <c r="AX170" s="719"/>
      <c r="AY170" s="720"/>
      <c r="AZ170" s="720"/>
      <c r="BA170" s="720"/>
      <c r="BB170" s="851"/>
      <c r="BC170" s="182">
        <f t="shared" ref="BC170" si="447">IF(BB170=0,9,IF(AH170&gt;=BB170,5,IF(AH170&gt;=BA170,4,IF(AH170&gt;=AZ170,3,IF(AH170&gt;=AY170,2,IF(AH170&lt;AX170,0,1))))))</f>
        <v>9</v>
      </c>
      <c r="BD170" s="164" t="str">
        <f t="shared" si="438"/>
        <v>N/A</v>
      </c>
      <c r="BE170" s="185"/>
      <c r="BF170" s="182">
        <f t="shared" ref="BF170" si="448">IF(BB170=0,9,IF(AI170&gt;=BB170,5,IF(AI170&gt;=BA170,4,IF(AI170&gt;=AZ170,3,IF(AI170&gt;=AY170,2,IF(AI170&lt;AX170,0,1))))))</f>
        <v>9</v>
      </c>
      <c r="BG170" s="164" t="str">
        <f t="shared" si="440"/>
        <v>N/A</v>
      </c>
      <c r="BH170" s="185"/>
      <c r="BI170" s="182">
        <f t="shared" ref="BI170" si="449">IF(BB170=0,9,IF(AJ170&gt;=BB170,5,IF(AJ170&gt;=BA170,4,IF(AJ170&gt;=AZ170,3,IF(AJ170&gt;=AY170,2,IF(AJ170&lt;AX170,0,1))))))</f>
        <v>9</v>
      </c>
      <c r="BJ170" s="164" t="str">
        <f t="shared" si="442"/>
        <v>N/A</v>
      </c>
      <c r="BK170" s="843"/>
      <c r="BN170" s="167"/>
      <c r="BO170" s="167"/>
      <c r="BP170" s="167" t="str">
        <f t="shared" si="340"/>
        <v/>
      </c>
      <c r="BQ170" s="167">
        <f t="shared" si="393"/>
        <v>9</v>
      </c>
      <c r="BR170" s="167">
        <f t="shared" si="394"/>
        <v>9</v>
      </c>
      <c r="BS170" s="167">
        <f t="shared" si="395"/>
        <v>9</v>
      </c>
      <c r="BV170" s="164"/>
      <c r="BW170" s="164"/>
      <c r="BX170" s="164"/>
      <c r="BY170" s="164"/>
      <c r="BZ170" s="164"/>
      <c r="CA170" s="164"/>
    </row>
    <row r="171" spans="1:80" x14ac:dyDescent="0.25">
      <c r="A171" s="96">
        <v>163</v>
      </c>
      <c r="B171" s="137" t="str">
        <f>C171</f>
        <v>LE 02</v>
      </c>
      <c r="C171" s="847" t="s">
        <v>183</v>
      </c>
      <c r="D171" s="845" t="s">
        <v>471</v>
      </c>
      <c r="E171" s="947">
        <f>SUM(E172:E174)</f>
        <v>2</v>
      </c>
      <c r="F171" s="947">
        <f t="shared" ref="F171:Q171" si="450">SUM(F172:F174)</f>
        <v>2</v>
      </c>
      <c r="G171" s="947">
        <f t="shared" si="450"/>
        <v>2</v>
      </c>
      <c r="H171" s="947">
        <f t="shared" si="450"/>
        <v>2</v>
      </c>
      <c r="I171" s="947">
        <f t="shared" si="450"/>
        <v>2</v>
      </c>
      <c r="J171" s="947">
        <f t="shared" si="450"/>
        <v>2</v>
      </c>
      <c r="K171" s="947">
        <f t="shared" si="450"/>
        <v>2</v>
      </c>
      <c r="L171" s="947">
        <f t="shared" si="450"/>
        <v>2</v>
      </c>
      <c r="M171" s="947">
        <f t="shared" si="450"/>
        <v>2</v>
      </c>
      <c r="N171" s="947">
        <f t="shared" si="450"/>
        <v>2</v>
      </c>
      <c r="O171" s="947">
        <f t="shared" si="450"/>
        <v>2</v>
      </c>
      <c r="P171" s="947">
        <f t="shared" ref="P171" si="451">SUM(P172:P174)</f>
        <v>2</v>
      </c>
      <c r="Q171" s="947">
        <f t="shared" si="450"/>
        <v>2</v>
      </c>
      <c r="S171" s="977">
        <f t="shared" si="429"/>
        <v>2</v>
      </c>
      <c r="T171" s="222"/>
      <c r="U171" s="230"/>
      <c r="V171" s="230"/>
      <c r="W171" s="230">
        <f>'Manuell filtrering og justering'!E76</f>
        <v>0</v>
      </c>
      <c r="X171" s="230"/>
      <c r="Y171" s="972">
        <f t="shared" ref="Y171" si="452">SUM(Y172:Y174)</f>
        <v>2</v>
      </c>
      <c r="Z171" s="977">
        <f t="shared" si="431"/>
        <v>0</v>
      </c>
      <c r="AA171" s="1081">
        <f>SUM(AA172:AA174)</f>
        <v>2</v>
      </c>
      <c r="AC171" s="171">
        <f t="shared" si="432"/>
        <v>1.5789473684210527E-2</v>
      </c>
      <c r="AD171" s="935">
        <f>SUM(AD172:AD174)</f>
        <v>0</v>
      </c>
      <c r="AE171" s="935">
        <f t="shared" ref="AE171" si="453">SUM(AE172:AE174)</f>
        <v>0</v>
      </c>
      <c r="AF171" s="935">
        <f t="shared" ref="AF171" si="454">SUM(AF172:AF174)</f>
        <v>0</v>
      </c>
      <c r="AH171" s="972">
        <f t="shared" ref="AH171" si="455">SUM(AH172:AH174)</f>
        <v>0</v>
      </c>
      <c r="AI171" s="972">
        <f t="shared" ref="AI171" si="456">SUM(AI172:AI174)</f>
        <v>0</v>
      </c>
      <c r="AJ171" s="972">
        <f t="shared" ref="AJ171" si="457">SUM(AJ172:AJ174)</f>
        <v>0</v>
      </c>
      <c r="AL171" s="292"/>
      <c r="AM171" s="293"/>
      <c r="AN171" s="293"/>
      <c r="AO171" s="181"/>
      <c r="AP171" s="186"/>
      <c r="AQ171" s="139"/>
      <c r="AR171" s="291"/>
      <c r="AS171" s="181"/>
      <c r="AT171" s="181"/>
      <c r="AU171" s="181"/>
      <c r="AV171" s="186"/>
      <c r="AX171" s="188"/>
      <c r="AY171" s="189"/>
      <c r="AZ171" s="189"/>
      <c r="BA171" s="189"/>
      <c r="BB171" s="190"/>
      <c r="BC171" s="182">
        <f t="shared" ref="BC171:BC225" si="458">IF(BB171=0,9,IF(AH171&gt;=BB171,5,IF(AH171&gt;=BA171,4,IF(AH171&gt;=AZ171,3,IF(AH171&gt;=AY171,2,IF(AH171&lt;AX171,0,1))))))</f>
        <v>9</v>
      </c>
      <c r="BD171" s="164" t="str">
        <f t="shared" si="438"/>
        <v>N/A</v>
      </c>
      <c r="BE171" s="185"/>
      <c r="BF171" s="182">
        <f t="shared" si="439"/>
        <v>9</v>
      </c>
      <c r="BG171" s="164" t="str">
        <f t="shared" si="440"/>
        <v>N/A</v>
      </c>
      <c r="BH171" s="185"/>
      <c r="BI171" s="182">
        <f t="shared" si="441"/>
        <v>9</v>
      </c>
      <c r="BJ171" s="164" t="str">
        <f t="shared" si="442"/>
        <v>N/A</v>
      </c>
      <c r="BK171" s="185"/>
      <c r="BN171" s="167"/>
      <c r="BO171" s="167"/>
      <c r="BP171" s="167" t="str">
        <f t="shared" si="340"/>
        <v/>
      </c>
      <c r="BQ171" s="167">
        <f t="shared" si="393"/>
        <v>9</v>
      </c>
      <c r="BR171" s="167">
        <f t="shared" si="394"/>
        <v>9</v>
      </c>
      <c r="BS171" s="167">
        <f t="shared" si="395"/>
        <v>9</v>
      </c>
      <c r="BV171" s="167" t="str">
        <f>C171</f>
        <v>LE 02</v>
      </c>
      <c r="BW171" s="167" t="str">
        <f>IFERROR(VLOOKUP($D171,'Pre-Assessment Estimator'!$E$11:$AB$224,'Pre-Assessment Estimator'!AB$2,FALSE),"")</f>
        <v>N/A</v>
      </c>
      <c r="BX171" s="167">
        <f>IFERROR(VLOOKUP($D171,'Pre-Assessment Estimator'!$E$11:$AI$224,'Pre-Assessment Estimator'!AI$2,FALSE),"")</f>
        <v>0</v>
      </c>
      <c r="BY171" s="167">
        <f>IFERROR(VLOOKUP($BW171,$D$291:$G$324,E$289,FALSE),"")</f>
        <v>1</v>
      </c>
      <c r="BZ171" s="167">
        <f>IFERROR(VLOOKUP($BW171,$D$291:$G$324,F$289,FALSE),"")</f>
        <v>0</v>
      </c>
      <c r="CA171" s="167"/>
      <c r="CB171" s="96" t="str">
        <f>IFERROR(VLOOKUP($BW171,$D$291:$G$324,H$289,FALSE),"")</f>
        <v/>
      </c>
    </row>
    <row r="172" spans="1:80" x14ac:dyDescent="0.25">
      <c r="A172" s="96">
        <v>164</v>
      </c>
      <c r="C172" s="166" t="s">
        <v>696</v>
      </c>
      <c r="D172" s="954" t="s">
        <v>1042</v>
      </c>
      <c r="E172" s="788"/>
      <c r="F172" s="788"/>
      <c r="G172" s="788"/>
      <c r="H172" s="788"/>
      <c r="I172" s="788"/>
      <c r="J172" s="788"/>
      <c r="K172" s="788"/>
      <c r="L172" s="788"/>
      <c r="M172" s="788"/>
      <c r="N172" s="788"/>
      <c r="O172" s="788"/>
      <c r="P172" s="788"/>
      <c r="Q172" s="788"/>
      <c r="S172" s="221">
        <f t="shared" si="429"/>
        <v>0</v>
      </c>
      <c r="T172" s="166"/>
      <c r="U172" s="167"/>
      <c r="V172" s="167"/>
      <c r="W172" s="167"/>
      <c r="X172" s="168"/>
      <c r="Y172" s="168"/>
      <c r="Z172" s="169">
        <f t="shared" si="431"/>
        <v>0</v>
      </c>
      <c r="AA172" s="170">
        <f>IF($AB$5='Manuell filtrering og justering'!$J$2,Y172,(S172-Z172))</f>
        <v>0</v>
      </c>
      <c r="AC172" s="171">
        <f t="shared" si="432"/>
        <v>0</v>
      </c>
      <c r="AD172" s="171">
        <f t="shared" si="444"/>
        <v>0</v>
      </c>
      <c r="AE172" s="171">
        <f t="shared" si="445"/>
        <v>0</v>
      </c>
      <c r="AF172" s="171">
        <f t="shared" si="446"/>
        <v>0</v>
      </c>
      <c r="AH172" s="172">
        <f>IF(VLOOKUP(D172,'Pre-Assessment Estimator'!$E$11:$Z$224,'Pre-Assessment Estimator'!$G$2,FALSE)&gt;AA172,AA172,VLOOKUP(D172,'Pre-Assessment Estimator'!$E$11:$Z$224,'Pre-Assessment Estimator'!$G$2,FALSE))</f>
        <v>0</v>
      </c>
      <c r="AI172" s="172">
        <f>IF(VLOOKUP(D172,'Pre-Assessment Estimator'!$E$11:$Z$224,'Pre-Assessment Estimator'!$N$2,FALSE)&gt;AA172,AA172,VLOOKUP(D172,'Pre-Assessment Estimator'!$E$11:$Z$224,'Pre-Assessment Estimator'!$N$2,FALSE))</f>
        <v>0</v>
      </c>
      <c r="AJ172" s="172">
        <f>IF(VLOOKUP(D172,'Pre-Assessment Estimator'!$E$11:$Z$224,'Pre-Assessment Estimator'!$U$2,FALSE)&gt;AA172,AA172,VLOOKUP(D172,'Pre-Assessment Estimator'!$E$11:$Z$224,'Pre-Assessment Estimator'!$U$2,FALSE))</f>
        <v>0</v>
      </c>
      <c r="AL172" s="292"/>
      <c r="AM172" s="293"/>
      <c r="AN172" s="293"/>
      <c r="AO172" s="181"/>
      <c r="AP172" s="186"/>
      <c r="AQ172" s="139"/>
      <c r="AR172" s="291"/>
      <c r="AS172" s="181"/>
      <c r="AT172" s="181"/>
      <c r="AU172" s="181"/>
      <c r="AV172" s="186"/>
      <c r="AX172" s="188"/>
      <c r="AY172" s="189"/>
      <c r="AZ172" s="189"/>
      <c r="BA172" s="189"/>
      <c r="BB172" s="190"/>
      <c r="BC172" s="182">
        <f t="shared" si="458"/>
        <v>9</v>
      </c>
      <c r="BD172" s="164" t="str">
        <f t="shared" si="438"/>
        <v>N/A</v>
      </c>
      <c r="BE172" s="185"/>
      <c r="BF172" s="182">
        <f t="shared" si="439"/>
        <v>9</v>
      </c>
      <c r="BG172" s="164" t="str">
        <f t="shared" si="440"/>
        <v>N/A</v>
      </c>
      <c r="BH172" s="185"/>
      <c r="BI172" s="182">
        <f t="shared" si="441"/>
        <v>9</v>
      </c>
      <c r="BJ172" s="164" t="str">
        <f t="shared" si="442"/>
        <v>N/A</v>
      </c>
      <c r="BK172" s="185"/>
      <c r="BN172" s="167"/>
      <c r="BO172" s="167"/>
      <c r="BP172" s="167" t="str">
        <f t="shared" si="340"/>
        <v/>
      </c>
      <c r="BQ172" s="167">
        <f t="shared" si="393"/>
        <v>9</v>
      </c>
      <c r="BR172" s="167">
        <f t="shared" si="394"/>
        <v>9</v>
      </c>
      <c r="BS172" s="167">
        <f t="shared" si="395"/>
        <v>9</v>
      </c>
      <c r="BV172" s="167"/>
      <c r="BW172" s="167"/>
      <c r="BX172" s="167"/>
      <c r="BY172" s="167"/>
      <c r="BZ172" s="167"/>
      <c r="CA172" s="167"/>
    </row>
    <row r="173" spans="1:80" x14ac:dyDescent="0.25">
      <c r="A173" s="96">
        <v>165</v>
      </c>
      <c r="B173" s="96" t="str">
        <f t="shared" ref="B173:B174" si="459">$C$171&amp;C173</f>
        <v>LE 02b</v>
      </c>
      <c r="C173" s="188" t="s">
        <v>699</v>
      </c>
      <c r="D173" s="1122" t="s">
        <v>676</v>
      </c>
      <c r="E173" s="788">
        <v>1</v>
      </c>
      <c r="F173" s="788">
        <v>1</v>
      </c>
      <c r="G173" s="788">
        <v>1</v>
      </c>
      <c r="H173" s="788">
        <v>1</v>
      </c>
      <c r="I173" s="788">
        <v>1</v>
      </c>
      <c r="J173" s="788">
        <v>1</v>
      </c>
      <c r="K173" s="788">
        <v>1</v>
      </c>
      <c r="L173" s="788">
        <v>1</v>
      </c>
      <c r="M173" s="788">
        <v>1</v>
      </c>
      <c r="N173" s="788">
        <v>1</v>
      </c>
      <c r="O173" s="788">
        <v>1</v>
      </c>
      <c r="P173" s="788">
        <v>1</v>
      </c>
      <c r="Q173" s="788">
        <v>1</v>
      </c>
      <c r="S173" s="221">
        <f t="shared" si="429"/>
        <v>1</v>
      </c>
      <c r="T173" s="166"/>
      <c r="U173" s="167"/>
      <c r="V173" s="167"/>
      <c r="W173" s="167"/>
      <c r="X173" s="168"/>
      <c r="Y173" s="168">
        <f>VLOOKUP(B173,'Manuell filtrering og justering'!$A$7:$H$253,'Manuell filtrering og justering'!$H$1,FALSE)</f>
        <v>1</v>
      </c>
      <c r="Z173" s="169">
        <f t="shared" si="431"/>
        <v>0</v>
      </c>
      <c r="AA173" s="170">
        <f>IF($AB$5='Manuell filtrering og justering'!$J$2,Y173,(S173-Z173))</f>
        <v>1</v>
      </c>
      <c r="AC173" s="171">
        <f t="shared" si="432"/>
        <v>7.8947368421052634E-3</v>
      </c>
      <c r="AD173" s="171">
        <f t="shared" si="444"/>
        <v>0</v>
      </c>
      <c r="AE173" s="171">
        <f t="shared" si="445"/>
        <v>0</v>
      </c>
      <c r="AF173" s="171">
        <f t="shared" si="446"/>
        <v>0</v>
      </c>
      <c r="AH173" s="1082">
        <f>IF(AH241=AD_no,0,IF(VLOOKUP(D173,'Pre-Assessment Estimator'!$E$11:$Z$224,'Pre-Assessment Estimator'!$G$2,FALSE)&gt;AA173,AA173,VLOOKUP(D173,'Pre-Assessment Estimator'!$E$11:$Z$224,'Pre-Assessment Estimator'!$G$2,FALSE)))</f>
        <v>0</v>
      </c>
      <c r="AI173" s="1082">
        <f>IF(AI241=AD_no,0,IF(VLOOKUP(D173,'Pre-Assessment Estimator'!$E$11:$Z$224,'Pre-Assessment Estimator'!$N$2,FALSE)&gt;AA173,AA173,VLOOKUP(D173,'Pre-Assessment Estimator'!$E$11:$Z$224,'Pre-Assessment Estimator'!$N$2,FALSE)))</f>
        <v>0</v>
      </c>
      <c r="AJ173" s="1082">
        <f>IF(AJ241=AD_no,0,IF(VLOOKUP(D173,'Pre-Assessment Estimator'!$E$11:$Z$224,'Pre-Assessment Estimator'!$U$2,FALSE)&gt;AA173,AA173,VLOOKUP(D173,'Pre-Assessment Estimator'!$E$11:$Z$224,'Pre-Assessment Estimator'!$U$2,FALSE)))</f>
        <v>0</v>
      </c>
      <c r="AL173" s="292"/>
      <c r="AM173" s="293"/>
      <c r="AN173" s="293">
        <v>1</v>
      </c>
      <c r="AO173" s="181">
        <v>1</v>
      </c>
      <c r="AP173" s="186">
        <v>1</v>
      </c>
      <c r="AQ173" s="139"/>
      <c r="AR173" s="291"/>
      <c r="AS173" s="181"/>
      <c r="AT173" s="181">
        <v>1</v>
      </c>
      <c r="AU173" s="181">
        <v>1</v>
      </c>
      <c r="AV173" s="186">
        <v>1</v>
      </c>
      <c r="AX173" s="188"/>
      <c r="AY173" s="189"/>
      <c r="AZ173" s="183">
        <f>IF($AA173=0,0,IF($D$6=$G$9,AT173,AN173))</f>
        <v>1</v>
      </c>
      <c r="BA173" s="183">
        <f>IF($AA173=0,0,IF($D$6=$G$9,AU173,AO173))</f>
        <v>1</v>
      </c>
      <c r="BB173" s="183">
        <f>IF($AA173=0,0,IF($D$6=$G$9,AV173,AP173))</f>
        <v>1</v>
      </c>
      <c r="BC173" s="182">
        <f t="shared" ref="BC173:BC191" si="460">IF(BB173=0,9,IF(AH173&gt;=BB173,5,IF(AH173&gt;=BA173,4,IF(AH173&gt;=AZ173,3,IF(AH173&gt;=AY173,2,IF(AH173&lt;AX173,0,1))))))</f>
        <v>2</v>
      </c>
      <c r="BD173" s="164" t="str">
        <f t="shared" si="438"/>
        <v>Good</v>
      </c>
      <c r="BE173" s="185"/>
      <c r="BF173" s="182">
        <f t="shared" ref="BF173:BF191" si="461">IF(BB173=0,9,IF(AI173&gt;=BB173,5,IF(AI173&gt;=BA173,4,IF(AI173&gt;=AZ173,3,IF(AI173&gt;=AY173,2,IF(AI173&lt;AX173,0,1))))))</f>
        <v>2</v>
      </c>
      <c r="BG173" s="164" t="str">
        <f t="shared" si="440"/>
        <v>Good</v>
      </c>
      <c r="BH173" s="185"/>
      <c r="BI173" s="182">
        <f t="shared" ref="BI173:BI191" si="462">IF(BB173=0,9,IF(AJ173&gt;=BB173,5,IF(AJ173&gt;=BA173,4,IF(AJ173&gt;=AZ173,3,IF(AJ173&gt;=AY173,2,IF(AJ173&lt;AX173,0,1))))))</f>
        <v>2</v>
      </c>
      <c r="BJ173" s="164" t="str">
        <f t="shared" si="442"/>
        <v>Good</v>
      </c>
      <c r="BK173" s="185"/>
      <c r="BN173" s="167"/>
      <c r="BO173" s="167">
        <v>1</v>
      </c>
      <c r="BP173" s="167">
        <f t="shared" si="340"/>
        <v>1</v>
      </c>
      <c r="BQ173" s="167">
        <f t="shared" si="393"/>
        <v>0</v>
      </c>
      <c r="BR173" s="167">
        <f t="shared" si="394"/>
        <v>0</v>
      </c>
      <c r="BS173" s="167">
        <f t="shared" si="395"/>
        <v>0</v>
      </c>
      <c r="BV173" s="167"/>
      <c r="BW173" s="167"/>
      <c r="BX173" s="167"/>
      <c r="BY173" s="167"/>
      <c r="BZ173" s="167"/>
      <c r="CA173" s="167"/>
    </row>
    <row r="174" spans="1:80" x14ac:dyDescent="0.25">
      <c r="A174" s="96">
        <v>166</v>
      </c>
      <c r="B174" s="96" t="str">
        <f t="shared" si="459"/>
        <v>LE 02c</v>
      </c>
      <c r="C174" s="188" t="s">
        <v>700</v>
      </c>
      <c r="D174" s="1122" t="s">
        <v>677</v>
      </c>
      <c r="E174" s="788">
        <v>1</v>
      </c>
      <c r="F174" s="788">
        <v>1</v>
      </c>
      <c r="G174" s="788">
        <v>1</v>
      </c>
      <c r="H174" s="788">
        <v>1</v>
      </c>
      <c r="I174" s="788">
        <v>1</v>
      </c>
      <c r="J174" s="788">
        <v>1</v>
      </c>
      <c r="K174" s="788">
        <v>1</v>
      </c>
      <c r="L174" s="788">
        <v>1</v>
      </c>
      <c r="M174" s="788">
        <v>1</v>
      </c>
      <c r="N174" s="788">
        <v>1</v>
      </c>
      <c r="O174" s="788">
        <v>1</v>
      </c>
      <c r="P174" s="788">
        <v>1</v>
      </c>
      <c r="Q174" s="788">
        <v>1</v>
      </c>
      <c r="S174" s="221">
        <f t="shared" si="429"/>
        <v>1</v>
      </c>
      <c r="T174" s="166"/>
      <c r="U174" s="167"/>
      <c r="V174" s="167"/>
      <c r="W174" s="167"/>
      <c r="X174" s="168"/>
      <c r="Y174" s="168">
        <f>VLOOKUP(B174,'Manuell filtrering og justering'!$A$7:$H$253,'Manuell filtrering og justering'!$H$1,FALSE)</f>
        <v>1</v>
      </c>
      <c r="Z174" s="169">
        <f t="shared" si="431"/>
        <v>0</v>
      </c>
      <c r="AA174" s="170">
        <f>IF($AB$5='Manuell filtrering og justering'!$J$2,Y174,(S174-Z174))</f>
        <v>1</v>
      </c>
      <c r="AC174" s="171">
        <f t="shared" si="432"/>
        <v>7.8947368421052634E-3</v>
      </c>
      <c r="AD174" s="171">
        <f t="shared" si="444"/>
        <v>0</v>
      </c>
      <c r="AE174" s="171">
        <f t="shared" si="445"/>
        <v>0</v>
      </c>
      <c r="AF174" s="171">
        <f t="shared" si="446"/>
        <v>0</v>
      </c>
      <c r="AH174" s="1082">
        <f>IF(AH241=AD_no,0,IF(VLOOKUP(D174,'Pre-Assessment Estimator'!$E$11:$Z$224,'Pre-Assessment Estimator'!$G$2,FALSE)&gt;AA174,AA174,VLOOKUP(D174,'Pre-Assessment Estimator'!$E$11:$Z$224,'Pre-Assessment Estimator'!$G$2,FALSE)))</f>
        <v>0</v>
      </c>
      <c r="AI174" s="1082">
        <f>IF(AI241=AD_no,0,IF(VLOOKUP(D174,'Pre-Assessment Estimator'!$E$11:$Z$224,'Pre-Assessment Estimator'!$N$2,FALSE)&gt;AA174,AA174,VLOOKUP(D174,'Pre-Assessment Estimator'!$E$11:$Z$224,'Pre-Assessment Estimator'!$N$2,FALSE)))</f>
        <v>0</v>
      </c>
      <c r="AJ174" s="1082">
        <f>IF(AJ241=AD_no,0,IF(VLOOKUP(D174,'Pre-Assessment Estimator'!$E$11:$Z$224,'Pre-Assessment Estimator'!$U$2,FALSE)&gt;AA174,AA174,VLOOKUP(D174,'Pre-Assessment Estimator'!$E$11:$Z$224,'Pre-Assessment Estimator'!$U$2,FALSE)))</f>
        <v>0</v>
      </c>
      <c r="AL174" s="292"/>
      <c r="AM174" s="293"/>
      <c r="AN174" s="293"/>
      <c r="AO174" s="181"/>
      <c r="AP174" s="186"/>
      <c r="AQ174" s="139"/>
      <c r="AR174" s="291"/>
      <c r="AS174" s="181"/>
      <c r="AT174" s="181"/>
      <c r="AU174" s="181"/>
      <c r="AV174" s="186"/>
      <c r="AX174" s="188"/>
      <c r="AY174" s="189"/>
      <c r="AZ174" s="189"/>
      <c r="BA174" s="189"/>
      <c r="BB174" s="190"/>
      <c r="BC174" s="182">
        <f t="shared" si="460"/>
        <v>9</v>
      </c>
      <c r="BD174" s="164" t="str">
        <f t="shared" si="438"/>
        <v>N/A</v>
      </c>
      <c r="BE174" s="185"/>
      <c r="BF174" s="182">
        <f t="shared" si="461"/>
        <v>9</v>
      </c>
      <c r="BG174" s="164" t="str">
        <f t="shared" si="440"/>
        <v>N/A</v>
      </c>
      <c r="BH174" s="185"/>
      <c r="BI174" s="182">
        <f t="shared" si="462"/>
        <v>9</v>
      </c>
      <c r="BJ174" s="164" t="str">
        <f t="shared" si="442"/>
        <v>N/A</v>
      </c>
      <c r="BK174" s="185"/>
      <c r="BN174" s="167"/>
      <c r="BO174" s="167">
        <v>1</v>
      </c>
      <c r="BP174" s="167">
        <f t="shared" si="340"/>
        <v>1</v>
      </c>
      <c r="BQ174" s="167">
        <f t="shared" si="393"/>
        <v>0</v>
      </c>
      <c r="BR174" s="167">
        <f t="shared" si="394"/>
        <v>0</v>
      </c>
      <c r="BS174" s="167">
        <f t="shared" si="395"/>
        <v>0</v>
      </c>
      <c r="BV174" s="167"/>
      <c r="BW174" s="167"/>
      <c r="BX174" s="167"/>
      <c r="BY174" s="167"/>
      <c r="BZ174" s="167"/>
      <c r="CA174" s="167"/>
    </row>
    <row r="175" spans="1:80" x14ac:dyDescent="0.25">
      <c r="A175" s="96">
        <v>167</v>
      </c>
      <c r="B175" s="137" t="str">
        <f>C175</f>
        <v>LE 03</v>
      </c>
      <c r="C175" s="960" t="s">
        <v>482</v>
      </c>
      <c r="D175" s="845" t="s">
        <v>472</v>
      </c>
      <c r="E175" s="947">
        <f>SUM(E176:E178)</f>
        <v>3</v>
      </c>
      <c r="F175" s="947">
        <f t="shared" ref="F175:Q175" si="463">SUM(F176:F178)</f>
        <v>3</v>
      </c>
      <c r="G175" s="947">
        <f t="shared" si="463"/>
        <v>3</v>
      </c>
      <c r="H175" s="947">
        <f t="shared" si="463"/>
        <v>3</v>
      </c>
      <c r="I175" s="947">
        <f t="shared" si="463"/>
        <v>3</v>
      </c>
      <c r="J175" s="947">
        <f t="shared" si="463"/>
        <v>3</v>
      </c>
      <c r="K175" s="947">
        <f t="shared" si="463"/>
        <v>3</v>
      </c>
      <c r="L175" s="947">
        <f t="shared" si="463"/>
        <v>3</v>
      </c>
      <c r="M175" s="947">
        <f t="shared" si="463"/>
        <v>3</v>
      </c>
      <c r="N175" s="947">
        <f t="shared" si="463"/>
        <v>3</v>
      </c>
      <c r="O175" s="947">
        <f t="shared" si="463"/>
        <v>3</v>
      </c>
      <c r="P175" s="947">
        <f t="shared" ref="P175" si="464">SUM(P176:P178)</f>
        <v>3</v>
      </c>
      <c r="Q175" s="947">
        <f t="shared" si="463"/>
        <v>3</v>
      </c>
      <c r="S175" s="977">
        <f t="shared" si="429"/>
        <v>3</v>
      </c>
      <c r="T175" s="222"/>
      <c r="U175" s="230"/>
      <c r="V175" s="230"/>
      <c r="W175" s="230">
        <f>'Manuell filtrering og justering'!E77</f>
        <v>0</v>
      </c>
      <c r="X175" s="230"/>
      <c r="Y175" s="972">
        <f t="shared" ref="Y175" si="465">SUM(Y176:Y178)</f>
        <v>2</v>
      </c>
      <c r="Z175" s="977">
        <f t="shared" si="431"/>
        <v>0</v>
      </c>
      <c r="AA175" s="1081">
        <f>SUM(AA176:AA178)</f>
        <v>3</v>
      </c>
      <c r="AC175" s="171">
        <f t="shared" si="432"/>
        <v>2.368421052631579E-2</v>
      </c>
      <c r="AD175" s="935">
        <f>SUM(AD176:AD178)</f>
        <v>0</v>
      </c>
      <c r="AE175" s="935">
        <f t="shared" ref="AE175" si="466">SUM(AE176:AE178)</f>
        <v>0</v>
      </c>
      <c r="AF175" s="935">
        <f t="shared" ref="AF175" si="467">SUM(AF176:AF178)</f>
        <v>0</v>
      </c>
      <c r="AH175" s="972">
        <f t="shared" ref="AH175" si="468">SUM(AH176:AH178)</f>
        <v>0</v>
      </c>
      <c r="AI175" s="972">
        <f t="shared" ref="AI175" si="469">SUM(AI176:AI178)</f>
        <v>0</v>
      </c>
      <c r="AJ175" s="972">
        <f t="shared" ref="AJ175" si="470">SUM(AJ176:AJ178)</f>
        <v>0</v>
      </c>
      <c r="AL175" s="292"/>
      <c r="AM175" s="293"/>
      <c r="AN175" s="293"/>
      <c r="AO175" s="181"/>
      <c r="AP175" s="186"/>
      <c r="AQ175" s="139"/>
      <c r="AR175" s="291"/>
      <c r="AS175" s="181"/>
      <c r="AT175" s="181"/>
      <c r="AU175" s="181"/>
      <c r="AV175" s="186"/>
      <c r="AX175" s="188"/>
      <c r="AY175" s="189"/>
      <c r="AZ175" s="189"/>
      <c r="BA175" s="189"/>
      <c r="BB175" s="190"/>
      <c r="BC175" s="182">
        <f t="shared" si="460"/>
        <v>9</v>
      </c>
      <c r="BD175" s="164" t="str">
        <f t="shared" si="438"/>
        <v>N/A</v>
      </c>
      <c r="BE175" s="185"/>
      <c r="BF175" s="182">
        <f t="shared" si="461"/>
        <v>9</v>
      </c>
      <c r="BG175" s="164" t="str">
        <f t="shared" si="440"/>
        <v>N/A</v>
      </c>
      <c r="BH175" s="185"/>
      <c r="BI175" s="182">
        <f t="shared" si="462"/>
        <v>9</v>
      </c>
      <c r="BJ175" s="164" t="str">
        <f t="shared" si="442"/>
        <v>N/A</v>
      </c>
      <c r="BK175" s="185"/>
      <c r="BN175" s="167"/>
      <c r="BO175" s="167"/>
      <c r="BP175" s="167" t="str">
        <f t="shared" si="340"/>
        <v/>
      </c>
      <c r="BQ175" s="167">
        <f t="shared" si="393"/>
        <v>9</v>
      </c>
      <c r="BR175" s="167">
        <f t="shared" si="394"/>
        <v>9</v>
      </c>
      <c r="BS175" s="167">
        <f t="shared" si="395"/>
        <v>9</v>
      </c>
      <c r="BV175" s="167"/>
      <c r="BW175" s="167"/>
      <c r="BX175" s="167"/>
      <c r="BY175" s="167"/>
      <c r="BZ175" s="167"/>
      <c r="CA175" s="167"/>
    </row>
    <row r="176" spans="1:80" x14ac:dyDescent="0.25">
      <c r="A176" s="96">
        <v>168</v>
      </c>
      <c r="C176" s="188" t="s">
        <v>696</v>
      </c>
      <c r="D176" s="954" t="s">
        <v>678</v>
      </c>
      <c r="E176" s="788"/>
      <c r="F176" s="788"/>
      <c r="G176" s="788"/>
      <c r="H176" s="788"/>
      <c r="I176" s="788"/>
      <c r="J176" s="788"/>
      <c r="K176" s="788"/>
      <c r="L176" s="788"/>
      <c r="M176" s="788"/>
      <c r="N176" s="788"/>
      <c r="O176" s="788"/>
      <c r="P176" s="788"/>
      <c r="Q176" s="788"/>
      <c r="S176" s="221">
        <f t="shared" si="429"/>
        <v>0</v>
      </c>
      <c r="T176" s="166"/>
      <c r="U176" s="167"/>
      <c r="V176" s="167"/>
      <c r="W176" s="167"/>
      <c r="X176" s="168"/>
      <c r="Y176" s="168"/>
      <c r="Z176" s="169">
        <f t="shared" si="431"/>
        <v>0</v>
      </c>
      <c r="AA176" s="170">
        <f>IF($AB$5='Manuell filtrering og justering'!$J$2,Y176,(S176-Z176))</f>
        <v>0</v>
      </c>
      <c r="AC176" s="171">
        <f t="shared" si="432"/>
        <v>0</v>
      </c>
      <c r="AD176" s="171">
        <f t="shared" si="444"/>
        <v>0</v>
      </c>
      <c r="AE176" s="171">
        <f t="shared" si="445"/>
        <v>0</v>
      </c>
      <c r="AF176" s="171">
        <f t="shared" si="446"/>
        <v>0</v>
      </c>
      <c r="AH176" s="172"/>
      <c r="AI176" s="172"/>
      <c r="AJ176" s="172"/>
      <c r="AL176" s="292"/>
      <c r="AM176" s="293"/>
      <c r="AN176" s="293"/>
      <c r="AO176" s="181"/>
      <c r="AP176" s="186"/>
      <c r="AQ176" s="139"/>
      <c r="AR176" s="291"/>
      <c r="AS176" s="181"/>
      <c r="AT176" s="181"/>
      <c r="AU176" s="181"/>
      <c r="AV176" s="186"/>
      <c r="AX176" s="188"/>
      <c r="AY176" s="189"/>
      <c r="AZ176" s="189"/>
      <c r="BA176" s="189"/>
      <c r="BB176" s="190"/>
      <c r="BC176" s="182">
        <f t="shared" si="460"/>
        <v>9</v>
      </c>
      <c r="BD176" s="164" t="str">
        <f t="shared" si="438"/>
        <v>N/A</v>
      </c>
      <c r="BE176" s="185"/>
      <c r="BF176" s="182">
        <f t="shared" si="461"/>
        <v>9</v>
      </c>
      <c r="BG176" s="164" t="str">
        <f t="shared" si="440"/>
        <v>N/A</v>
      </c>
      <c r="BH176" s="185"/>
      <c r="BI176" s="182">
        <f t="shared" si="462"/>
        <v>9</v>
      </c>
      <c r="BJ176" s="164" t="str">
        <f t="shared" si="442"/>
        <v>N/A</v>
      </c>
      <c r="BK176" s="185"/>
      <c r="BN176" s="167"/>
      <c r="BO176" s="167"/>
      <c r="BP176" s="167" t="str">
        <f t="shared" si="340"/>
        <v/>
      </c>
      <c r="BQ176" s="167">
        <f t="shared" si="393"/>
        <v>9</v>
      </c>
      <c r="BR176" s="167">
        <f t="shared" si="394"/>
        <v>9</v>
      </c>
      <c r="BS176" s="167">
        <f t="shared" si="395"/>
        <v>9</v>
      </c>
      <c r="BV176" s="167"/>
      <c r="BW176" s="167"/>
      <c r="BX176" s="167"/>
      <c r="BY176" s="167"/>
      <c r="BZ176" s="167"/>
      <c r="CA176" s="167"/>
    </row>
    <row r="177" spans="1:80" x14ac:dyDescent="0.25">
      <c r="A177" s="96">
        <v>169</v>
      </c>
      <c r="B177" s="96" t="str">
        <f t="shared" ref="B177:B178" si="471">$C$175&amp;C177</f>
        <v>LE 03b</v>
      </c>
      <c r="C177" s="188" t="s">
        <v>699</v>
      </c>
      <c r="D177" s="1122" t="s">
        <v>679</v>
      </c>
      <c r="E177" s="788">
        <v>1</v>
      </c>
      <c r="F177" s="788">
        <v>1</v>
      </c>
      <c r="G177" s="788">
        <v>1</v>
      </c>
      <c r="H177" s="788">
        <v>1</v>
      </c>
      <c r="I177" s="788">
        <v>1</v>
      </c>
      <c r="J177" s="788">
        <v>1</v>
      </c>
      <c r="K177" s="788">
        <v>1</v>
      </c>
      <c r="L177" s="788">
        <v>1</v>
      </c>
      <c r="M177" s="788">
        <v>1</v>
      </c>
      <c r="N177" s="788">
        <v>1</v>
      </c>
      <c r="O177" s="788">
        <v>1</v>
      </c>
      <c r="P177" s="788">
        <v>1</v>
      </c>
      <c r="Q177" s="788">
        <v>1</v>
      </c>
      <c r="S177" s="221">
        <f t="shared" si="429"/>
        <v>1</v>
      </c>
      <c r="T177" s="166"/>
      <c r="U177" s="167"/>
      <c r="V177" s="167"/>
      <c r="W177" s="167"/>
      <c r="X177" s="168"/>
      <c r="Y177" s="168">
        <f>VLOOKUP(B177,'Manuell filtrering og justering'!$A$7:$H$253,'Manuell filtrering og justering'!$H$1,FALSE)</f>
        <v>1</v>
      </c>
      <c r="Z177" s="169">
        <f t="shared" si="431"/>
        <v>0</v>
      </c>
      <c r="AA177" s="170">
        <f>IF($AB$5='Manuell filtrering og justering'!$J$2,Y177,(S177-Z177))</f>
        <v>1</v>
      </c>
      <c r="AC177" s="171">
        <f t="shared" si="432"/>
        <v>7.8947368421052634E-3</v>
      </c>
      <c r="AD177" s="171">
        <f t="shared" si="444"/>
        <v>0</v>
      </c>
      <c r="AE177" s="171">
        <f t="shared" si="445"/>
        <v>0</v>
      </c>
      <c r="AF177" s="171">
        <f t="shared" si="446"/>
        <v>0</v>
      </c>
      <c r="AH177" s="1082">
        <f>IF(AH242=AD_no,0,IF(VLOOKUP(D177,'Pre-Assessment Estimator'!$E$11:$Z$224,'Pre-Assessment Estimator'!$G$2,FALSE)&gt;AA177,AA177,VLOOKUP(D177,'Pre-Assessment Estimator'!$E$11:$Z$224,'Pre-Assessment Estimator'!$G$2,FALSE)))</f>
        <v>0</v>
      </c>
      <c r="AI177" s="1082">
        <f>IF(AI242=AD_no,0,IF(VLOOKUP(D177,'Pre-Assessment Estimator'!$E$11:$Z$224,'Pre-Assessment Estimator'!$N$2,FALSE)&gt;AA177,AA177,VLOOKUP(D177,'Pre-Assessment Estimator'!$E$11:$Z$224,'Pre-Assessment Estimator'!$N$2,FALSE)))</f>
        <v>0</v>
      </c>
      <c r="AJ177" s="1082">
        <f>IF(AJ242=AD_no,0,IF(VLOOKUP(D177,'Pre-Assessment Estimator'!$E$11:$Z$224,'Pre-Assessment Estimator'!$U$2,FALSE)&gt;AA177,AA177,VLOOKUP(D177,'Pre-Assessment Estimator'!$E$11:$Z$224,'Pre-Assessment Estimator'!$U$2,FALSE)))</f>
        <v>0</v>
      </c>
      <c r="AL177" s="292"/>
      <c r="AM177" s="293"/>
      <c r="AN177" s="293"/>
      <c r="AO177" s="181"/>
      <c r="AP177" s="186"/>
      <c r="AQ177" s="139"/>
      <c r="AR177" s="291"/>
      <c r="AS177" s="181"/>
      <c r="AT177" s="181"/>
      <c r="AU177" s="181"/>
      <c r="AV177" s="186"/>
      <c r="AX177" s="183"/>
      <c r="AY177" s="183"/>
      <c r="AZ177" s="183"/>
      <c r="BA177" s="183"/>
      <c r="BB177" s="183"/>
      <c r="BC177" s="182">
        <f t="shared" ref="BC177:BC178" si="472">IF(BB177=0,9,IF(AH177&gt;=BB177,5,IF(AH177&gt;=BA177,4,IF(AH177&gt;=AZ177,3,IF(AH177&gt;=AY177,2,IF(AH177&lt;AX177,0,1))))))</f>
        <v>9</v>
      </c>
      <c r="BD177" s="164" t="str">
        <f t="shared" si="438"/>
        <v>N/A</v>
      </c>
      <c r="BE177" s="185"/>
      <c r="BF177" s="182">
        <f t="shared" ref="BF177:BF178" si="473">IF(BB177=0,9,IF(AI177&gt;=BB177,5,IF(AI177&gt;=BA177,4,IF(AI177&gt;=AZ177,3,IF(AI177&gt;=AY177,2,IF(AI177&lt;AX177,0,1))))))</f>
        <v>9</v>
      </c>
      <c r="BG177" s="164" t="str">
        <f t="shared" si="440"/>
        <v>N/A</v>
      </c>
      <c r="BH177" s="185"/>
      <c r="BI177" s="182">
        <f t="shared" ref="BI177:BI178" si="474">IF(BB177=0,9,IF(AJ177&gt;=BB177,5,IF(AJ177&gt;=BA177,4,IF(AJ177&gt;=AZ177,3,IF(AJ177&gt;=AY177,2,IF(AJ177&lt;AX177,0,1))))))</f>
        <v>9</v>
      </c>
      <c r="BJ177" s="164" t="str">
        <f t="shared" si="442"/>
        <v>N/A</v>
      </c>
      <c r="BK177" s="185"/>
      <c r="BN177" s="167"/>
      <c r="BO177" s="167">
        <v>1</v>
      </c>
      <c r="BP177" s="167">
        <f t="shared" si="340"/>
        <v>1</v>
      </c>
      <c r="BQ177" s="167">
        <f t="shared" si="393"/>
        <v>0</v>
      </c>
      <c r="BR177" s="167">
        <f t="shared" si="394"/>
        <v>0</v>
      </c>
      <c r="BS177" s="167">
        <f t="shared" si="395"/>
        <v>0</v>
      </c>
      <c r="BV177" s="167"/>
      <c r="BW177" s="167"/>
      <c r="BX177" s="167"/>
      <c r="BY177" s="167"/>
      <c r="BZ177" s="167"/>
      <c r="CA177" s="167"/>
    </row>
    <row r="178" spans="1:80" x14ac:dyDescent="0.25">
      <c r="A178" s="96">
        <v>170</v>
      </c>
      <c r="B178" s="96" t="str">
        <f t="shared" si="471"/>
        <v>LE 03c</v>
      </c>
      <c r="C178" s="188" t="s">
        <v>700</v>
      </c>
      <c r="D178" s="1122" t="s">
        <v>680</v>
      </c>
      <c r="E178" s="788">
        <v>2</v>
      </c>
      <c r="F178" s="788">
        <v>2</v>
      </c>
      <c r="G178" s="788">
        <v>2</v>
      </c>
      <c r="H178" s="788">
        <v>2</v>
      </c>
      <c r="I178" s="788">
        <v>2</v>
      </c>
      <c r="J178" s="788">
        <v>2</v>
      </c>
      <c r="K178" s="788">
        <v>2</v>
      </c>
      <c r="L178" s="788">
        <v>2</v>
      </c>
      <c r="M178" s="788">
        <v>2</v>
      </c>
      <c r="N178" s="788">
        <v>2</v>
      </c>
      <c r="O178" s="788">
        <v>2</v>
      </c>
      <c r="P178" s="788">
        <v>2</v>
      </c>
      <c r="Q178" s="788">
        <v>2</v>
      </c>
      <c r="S178" s="221">
        <f t="shared" si="429"/>
        <v>2</v>
      </c>
      <c r="T178" s="166"/>
      <c r="U178" s="167"/>
      <c r="V178" s="167"/>
      <c r="W178" s="167"/>
      <c r="X178" s="168"/>
      <c r="Y178" s="168">
        <f>VLOOKUP(B178,'Manuell filtrering og justering'!$A$7:$H$253,'Manuell filtrering og justering'!$H$1,FALSE)</f>
        <v>1</v>
      </c>
      <c r="Z178" s="169">
        <f t="shared" si="431"/>
        <v>0</v>
      </c>
      <c r="AA178" s="170">
        <f>IF($AB$5='Manuell filtrering og justering'!$J$2,Y178,(S178-Z178))</f>
        <v>2</v>
      </c>
      <c r="AC178" s="171">
        <f t="shared" si="432"/>
        <v>1.5789473684210527E-2</v>
      </c>
      <c r="AD178" s="171">
        <f t="shared" si="444"/>
        <v>0</v>
      </c>
      <c r="AE178" s="171">
        <f t="shared" si="445"/>
        <v>0</v>
      </c>
      <c r="AF178" s="171">
        <f t="shared" si="446"/>
        <v>0</v>
      </c>
      <c r="AH178" s="1082">
        <f>IF(AH242=AD_no,0,IF(VLOOKUP(D178,'Pre-Assessment Estimator'!$E$11:$Z$224,'Pre-Assessment Estimator'!$G$2,FALSE)&gt;AA178,AA178,VLOOKUP(D178,'Pre-Assessment Estimator'!$E$11:$Z$224,'Pre-Assessment Estimator'!$G$2,FALSE)))</f>
        <v>0</v>
      </c>
      <c r="AI178" s="1082">
        <f>IF(AI242=AD_no,0,IF(VLOOKUP(D178,'Pre-Assessment Estimator'!$E$11:$Z$224,'Pre-Assessment Estimator'!$N$2,FALSE)&gt;AA178,AA178,VLOOKUP(D178,'Pre-Assessment Estimator'!$E$11:$Z$224,'Pre-Assessment Estimator'!$N$2,FALSE)))</f>
        <v>0</v>
      </c>
      <c r="AJ178" s="1082">
        <f>IF(AJ242=AD_no,0,IF(VLOOKUP(D178,'Pre-Assessment Estimator'!$E$11:$Z$224,'Pre-Assessment Estimator'!$U$2,FALSE)&gt;AA178,AA178,VLOOKUP(D178,'Pre-Assessment Estimator'!$E$11:$Z$224,'Pre-Assessment Estimator'!$U$2,FALSE)))</f>
        <v>0</v>
      </c>
      <c r="AL178" s="292"/>
      <c r="AM178" s="293"/>
      <c r="AN178" s="293"/>
      <c r="AO178" s="181"/>
      <c r="AP178" s="186"/>
      <c r="AQ178" s="139"/>
      <c r="AR178" s="291"/>
      <c r="AS178" s="181"/>
      <c r="AT178" s="181"/>
      <c r="AU178" s="181"/>
      <c r="AV178" s="186"/>
      <c r="AX178" s="188"/>
      <c r="AY178" s="189"/>
      <c r="AZ178" s="189"/>
      <c r="BA178" s="189"/>
      <c r="BB178" s="190"/>
      <c r="BC178" s="182">
        <f t="shared" si="472"/>
        <v>9</v>
      </c>
      <c r="BD178" s="164" t="str">
        <f t="shared" si="438"/>
        <v>N/A</v>
      </c>
      <c r="BE178" s="185"/>
      <c r="BF178" s="182">
        <f t="shared" si="473"/>
        <v>9</v>
      </c>
      <c r="BG178" s="164" t="str">
        <f t="shared" si="440"/>
        <v>N/A</v>
      </c>
      <c r="BH178" s="185"/>
      <c r="BI178" s="182">
        <f t="shared" si="474"/>
        <v>9</v>
      </c>
      <c r="BJ178" s="164" t="str">
        <f t="shared" si="442"/>
        <v>N/A</v>
      </c>
      <c r="BK178" s="185"/>
      <c r="BN178" s="167"/>
      <c r="BO178" s="167">
        <v>1</v>
      </c>
      <c r="BP178" s="167">
        <f t="shared" si="340"/>
        <v>1</v>
      </c>
      <c r="BQ178" s="167">
        <f t="shared" si="393"/>
        <v>0</v>
      </c>
      <c r="BR178" s="167">
        <f t="shared" si="394"/>
        <v>0</v>
      </c>
      <c r="BS178" s="167">
        <f t="shared" si="395"/>
        <v>0</v>
      </c>
      <c r="BV178" s="167"/>
      <c r="BW178" s="167"/>
      <c r="BX178" s="167"/>
      <c r="BY178" s="167"/>
      <c r="BZ178" s="167"/>
      <c r="CA178" s="167"/>
    </row>
    <row r="179" spans="1:80" x14ac:dyDescent="0.25">
      <c r="A179" s="96">
        <v>171</v>
      </c>
      <c r="B179" s="137" t="str">
        <f>C179</f>
        <v>LE 04</v>
      </c>
      <c r="C179" s="960" t="s">
        <v>184</v>
      </c>
      <c r="D179" s="845" t="s">
        <v>473</v>
      </c>
      <c r="E179" s="947">
        <f>SUM(E180:E182)</f>
        <v>4</v>
      </c>
      <c r="F179" s="947">
        <f t="shared" ref="F179:Q179" si="475">SUM(F180:F182)</f>
        <v>4</v>
      </c>
      <c r="G179" s="947">
        <f t="shared" si="475"/>
        <v>4</v>
      </c>
      <c r="H179" s="947">
        <f t="shared" si="475"/>
        <v>4</v>
      </c>
      <c r="I179" s="947">
        <f t="shared" si="475"/>
        <v>4</v>
      </c>
      <c r="J179" s="947">
        <f t="shared" si="475"/>
        <v>4</v>
      </c>
      <c r="K179" s="947">
        <f t="shared" si="475"/>
        <v>4</v>
      </c>
      <c r="L179" s="947">
        <f t="shared" si="475"/>
        <v>4</v>
      </c>
      <c r="M179" s="947">
        <f t="shared" si="475"/>
        <v>4</v>
      </c>
      <c r="N179" s="947">
        <f t="shared" si="475"/>
        <v>4</v>
      </c>
      <c r="O179" s="947">
        <f t="shared" si="475"/>
        <v>4</v>
      </c>
      <c r="P179" s="947">
        <f t="shared" ref="P179" si="476">SUM(P180:P182)</f>
        <v>4</v>
      </c>
      <c r="Q179" s="947">
        <f t="shared" si="475"/>
        <v>4</v>
      </c>
      <c r="S179" s="977">
        <f t="shared" si="429"/>
        <v>4</v>
      </c>
      <c r="T179" s="222"/>
      <c r="U179" s="230"/>
      <c r="V179" s="230"/>
      <c r="W179" s="230">
        <f>'Manuell filtrering og justering'!E78</f>
        <v>0</v>
      </c>
      <c r="X179" s="230"/>
      <c r="Y179" s="972">
        <f t="shared" ref="Y179" si="477">SUM(Y180:Y182)</f>
        <v>4</v>
      </c>
      <c r="Z179" s="977">
        <f t="shared" si="431"/>
        <v>0</v>
      </c>
      <c r="AA179" s="1081">
        <f>SUM(AA180:AA182)</f>
        <v>4</v>
      </c>
      <c r="AC179" s="171">
        <f t="shared" si="432"/>
        <v>3.1578947368421054E-2</v>
      </c>
      <c r="AD179" s="935">
        <f>SUM(AD180:AD182)</f>
        <v>0</v>
      </c>
      <c r="AE179" s="935">
        <f t="shared" ref="AE179" si="478">SUM(AE180:AE182)</f>
        <v>0</v>
      </c>
      <c r="AF179" s="935">
        <f t="shared" ref="AF179" si="479">SUM(AF180:AF182)</f>
        <v>0</v>
      </c>
      <c r="AH179" s="972">
        <f t="shared" ref="AH179" si="480">SUM(AH180:AH182)</f>
        <v>0</v>
      </c>
      <c r="AI179" s="972">
        <f t="shared" ref="AI179" si="481">SUM(AI180:AI182)</f>
        <v>0</v>
      </c>
      <c r="AJ179" s="972">
        <f t="shared" ref="AJ179" si="482">SUM(AJ180:AJ182)</f>
        <v>0</v>
      </c>
      <c r="AL179" s="292"/>
      <c r="AM179" s="293"/>
      <c r="AN179" s="293"/>
      <c r="AO179" s="181"/>
      <c r="AP179" s="186"/>
      <c r="AQ179" s="139"/>
      <c r="AR179" s="291"/>
      <c r="AS179" s="181"/>
      <c r="AT179" s="181"/>
      <c r="AU179" s="181"/>
      <c r="AV179" s="186"/>
      <c r="AX179" s="188"/>
      <c r="AY179" s="189"/>
      <c r="AZ179" s="189"/>
      <c r="BA179" s="189"/>
      <c r="BB179" s="190"/>
      <c r="BC179" s="182">
        <f t="shared" si="460"/>
        <v>9</v>
      </c>
      <c r="BD179" s="164" t="str">
        <f t="shared" si="438"/>
        <v>N/A</v>
      </c>
      <c r="BE179" s="185"/>
      <c r="BF179" s="182">
        <f t="shared" si="461"/>
        <v>9</v>
      </c>
      <c r="BG179" s="164" t="str">
        <f t="shared" si="440"/>
        <v>N/A</v>
      </c>
      <c r="BH179" s="185"/>
      <c r="BI179" s="182">
        <f t="shared" si="462"/>
        <v>9</v>
      </c>
      <c r="BJ179" s="164" t="str">
        <f t="shared" si="442"/>
        <v>N/A</v>
      </c>
      <c r="BK179" s="185"/>
      <c r="BN179" s="167"/>
      <c r="BO179" s="167"/>
      <c r="BP179" s="167" t="str">
        <f t="shared" si="340"/>
        <v/>
      </c>
      <c r="BQ179" s="167">
        <f t="shared" si="393"/>
        <v>9</v>
      </c>
      <c r="BR179" s="167">
        <f t="shared" si="394"/>
        <v>9</v>
      </c>
      <c r="BS179" s="167">
        <f t="shared" si="395"/>
        <v>9</v>
      </c>
      <c r="BV179" s="167" t="str">
        <f>C179</f>
        <v>LE 04</v>
      </c>
      <c r="BW179" s="167" t="str">
        <f>IFERROR(VLOOKUP($D179,'Pre-Assessment Estimator'!$E$11:$AB$224,'Pre-Assessment Estimator'!AB$2,FALSE),"")</f>
        <v>N/A</v>
      </c>
      <c r="BX179" s="167">
        <f>IFERROR(VLOOKUP($D179,'Pre-Assessment Estimator'!$E$11:$AI$224,'Pre-Assessment Estimator'!AI$2,FALSE),"")</f>
        <v>0</v>
      </c>
      <c r="BY179" s="167">
        <f>IFERROR(VLOOKUP($BW179,$D$291:$G$324,E$289,FALSE),"")</f>
        <v>1</v>
      </c>
      <c r="BZ179" s="167">
        <f>IFERROR(VLOOKUP($BW179,$D$291:$G$324,F$289,FALSE),"")</f>
        <v>0</v>
      </c>
      <c r="CA179" s="167"/>
      <c r="CB179" s="96" t="str">
        <f>IFERROR(VLOOKUP($BW179,$D$291:$G$324,H$289,FALSE),"")</f>
        <v/>
      </c>
    </row>
    <row r="180" spans="1:80" x14ac:dyDescent="0.25">
      <c r="A180" s="96">
        <v>172</v>
      </c>
      <c r="C180" s="188" t="s">
        <v>696</v>
      </c>
      <c r="D180" s="954" t="s">
        <v>996</v>
      </c>
      <c r="E180" s="788"/>
      <c r="F180" s="788"/>
      <c r="G180" s="788"/>
      <c r="H180" s="788"/>
      <c r="I180" s="788"/>
      <c r="J180" s="788"/>
      <c r="K180" s="788"/>
      <c r="L180" s="788"/>
      <c r="M180" s="788"/>
      <c r="N180" s="788"/>
      <c r="O180" s="788"/>
      <c r="P180" s="788"/>
      <c r="Q180" s="788"/>
      <c r="S180" s="221">
        <f t="shared" si="429"/>
        <v>0</v>
      </c>
      <c r="T180" s="166"/>
      <c r="U180" s="167"/>
      <c r="V180" s="167"/>
      <c r="W180" s="167"/>
      <c r="X180" s="168"/>
      <c r="Y180" s="168"/>
      <c r="Z180" s="169">
        <f t="shared" si="431"/>
        <v>0</v>
      </c>
      <c r="AA180" s="170">
        <f>IF($AB$5='Manuell filtrering og justering'!$J$2,Y180,(S180-Z180))</f>
        <v>0</v>
      </c>
      <c r="AC180" s="171">
        <f t="shared" si="432"/>
        <v>0</v>
      </c>
      <c r="AD180" s="171">
        <f t="shared" si="444"/>
        <v>0</v>
      </c>
      <c r="AE180" s="171">
        <f t="shared" si="445"/>
        <v>0</v>
      </c>
      <c r="AF180" s="171">
        <f t="shared" si="446"/>
        <v>0</v>
      </c>
      <c r="AH180" s="172">
        <f>IF(VLOOKUP(D180,'Pre-Assessment Estimator'!$E$11:$Z$224,'Pre-Assessment Estimator'!$G$2,FALSE)&gt;AA180,AA180,VLOOKUP(D180,'Pre-Assessment Estimator'!$E$11:$Z$224,'Pre-Assessment Estimator'!$G$2,FALSE))</f>
        <v>0</v>
      </c>
      <c r="AI180" s="172">
        <f>IF(VLOOKUP(D180,'Pre-Assessment Estimator'!$E$11:$Z$224,'Pre-Assessment Estimator'!$N$2,FALSE)&gt;AA180,AA180,VLOOKUP(D180,'Pre-Assessment Estimator'!$E$11:$Z$224,'Pre-Assessment Estimator'!$N$2,FALSE))</f>
        <v>0</v>
      </c>
      <c r="AJ180" s="172">
        <f>IF(VLOOKUP(D180,'Pre-Assessment Estimator'!$E$11:$Z$224,'Pre-Assessment Estimator'!$U$2,FALSE)&gt;AA180,AA180,VLOOKUP(D180,'Pre-Assessment Estimator'!$E$11:$Z$224,'Pre-Assessment Estimator'!$U$2,FALSE))</f>
        <v>0</v>
      </c>
      <c r="AL180" s="292"/>
      <c r="AM180" s="293"/>
      <c r="AN180" s="293"/>
      <c r="AO180" s="181"/>
      <c r="AP180" s="186"/>
      <c r="AQ180" s="139"/>
      <c r="AR180" s="291"/>
      <c r="AS180" s="181"/>
      <c r="AT180" s="181"/>
      <c r="AU180" s="181"/>
      <c r="AV180" s="186"/>
      <c r="AX180" s="188"/>
      <c r="AY180" s="189"/>
      <c r="AZ180" s="189"/>
      <c r="BA180" s="189"/>
      <c r="BB180" s="190"/>
      <c r="BC180" s="182">
        <f t="shared" si="460"/>
        <v>9</v>
      </c>
      <c r="BD180" s="164" t="str">
        <f t="shared" si="438"/>
        <v>N/A</v>
      </c>
      <c r="BE180" s="185"/>
      <c r="BF180" s="182">
        <f t="shared" si="461"/>
        <v>9</v>
      </c>
      <c r="BG180" s="164" t="str">
        <f t="shared" si="440"/>
        <v>N/A</v>
      </c>
      <c r="BH180" s="185"/>
      <c r="BI180" s="182">
        <f t="shared" si="462"/>
        <v>9</v>
      </c>
      <c r="BJ180" s="164" t="str">
        <f t="shared" si="442"/>
        <v>N/A</v>
      </c>
      <c r="BK180" s="185"/>
      <c r="BN180" s="167"/>
      <c r="BO180" s="167"/>
      <c r="BP180" s="167" t="str">
        <f t="shared" si="340"/>
        <v/>
      </c>
      <c r="BQ180" s="167">
        <f t="shared" si="393"/>
        <v>9</v>
      </c>
      <c r="BR180" s="167">
        <f t="shared" si="394"/>
        <v>9</v>
      </c>
      <c r="BS180" s="167">
        <f t="shared" si="395"/>
        <v>9</v>
      </c>
      <c r="BV180" s="167"/>
      <c r="BW180" s="167"/>
      <c r="BX180" s="167"/>
      <c r="BY180" s="167"/>
      <c r="BZ180" s="167"/>
      <c r="CA180" s="167"/>
    </row>
    <row r="181" spans="1:80" x14ac:dyDescent="0.25">
      <c r="A181" s="96">
        <v>173</v>
      </c>
      <c r="B181" s="96" t="str">
        <f t="shared" ref="B181:B182" si="483">$C$179&amp;C181</f>
        <v>LE 04b</v>
      </c>
      <c r="C181" s="188" t="s">
        <v>699</v>
      </c>
      <c r="D181" s="1122" t="s">
        <v>682</v>
      </c>
      <c r="E181" s="788">
        <v>1</v>
      </c>
      <c r="F181" s="788">
        <v>1</v>
      </c>
      <c r="G181" s="788">
        <v>1</v>
      </c>
      <c r="H181" s="788">
        <v>1</v>
      </c>
      <c r="I181" s="788">
        <v>1</v>
      </c>
      <c r="J181" s="788">
        <v>1</v>
      </c>
      <c r="K181" s="788">
        <v>1</v>
      </c>
      <c r="L181" s="788">
        <v>1</v>
      </c>
      <c r="M181" s="788">
        <v>1</v>
      </c>
      <c r="N181" s="788">
        <v>1</v>
      </c>
      <c r="O181" s="788">
        <v>1</v>
      </c>
      <c r="P181" s="788">
        <v>1</v>
      </c>
      <c r="Q181" s="788">
        <v>1</v>
      </c>
      <c r="S181" s="221">
        <f t="shared" si="429"/>
        <v>1</v>
      </c>
      <c r="T181" s="166"/>
      <c r="U181" s="167"/>
      <c r="V181" s="167"/>
      <c r="W181" s="167"/>
      <c r="X181" s="168"/>
      <c r="Y181" s="168">
        <f>VLOOKUP(B181,'Manuell filtrering og justering'!$A$7:$H$253,'Manuell filtrering og justering'!$H$1,FALSE)</f>
        <v>1</v>
      </c>
      <c r="Z181" s="169">
        <f t="shared" si="431"/>
        <v>0</v>
      </c>
      <c r="AA181" s="170">
        <f>IF($AB$5='Manuell filtrering og justering'!$J$2,Y181,(S181-Z181))</f>
        <v>1</v>
      </c>
      <c r="AC181" s="171">
        <f t="shared" si="432"/>
        <v>7.8947368421052634E-3</v>
      </c>
      <c r="AD181" s="171">
        <f t="shared" si="444"/>
        <v>0</v>
      </c>
      <c r="AE181" s="171">
        <f t="shared" si="445"/>
        <v>0</v>
      </c>
      <c r="AF181" s="171">
        <f t="shared" si="446"/>
        <v>0</v>
      </c>
      <c r="AH181" s="1082">
        <f>IF(AH243=AD_no,0,IF(VLOOKUP(D181,'Pre-Assessment Estimator'!$E$11:$Z$224,'Pre-Assessment Estimator'!$G$2,FALSE)&gt;AA181,AA181,VLOOKUP(D181,'Pre-Assessment Estimator'!$E$11:$Z$224,'Pre-Assessment Estimator'!$G$2,FALSE)))</f>
        <v>0</v>
      </c>
      <c r="AI181" s="1082">
        <f>IF(AI243=AD_no,0,IF(VLOOKUP(D181,'Pre-Assessment Estimator'!$E$11:$Z$224,'Pre-Assessment Estimator'!$N$2,FALSE)&gt;AA181,AA181,VLOOKUP(D181,'Pre-Assessment Estimator'!$E$11:$Z$224,'Pre-Assessment Estimator'!$N$2,FALSE)))</f>
        <v>0</v>
      </c>
      <c r="AJ181" s="1082">
        <f>IF(AJ243=AD_no,0,IF(VLOOKUP(D181,'Pre-Assessment Estimator'!$E$11:$Z$224,'Pre-Assessment Estimator'!$U$2,FALSE)&gt;AA181,AA181,VLOOKUP(D181,'Pre-Assessment Estimator'!$E$11:$Z$224,'Pre-Assessment Estimator'!$U$2,FALSE)))</f>
        <v>0</v>
      </c>
      <c r="AL181" s="292"/>
      <c r="AM181" s="293"/>
      <c r="AN181" s="293"/>
      <c r="AO181" s="181"/>
      <c r="AP181" s="186">
        <v>1</v>
      </c>
      <c r="AQ181" s="139"/>
      <c r="AR181" s="291"/>
      <c r="AS181" s="181"/>
      <c r="AT181" s="181"/>
      <c r="AU181" s="181"/>
      <c r="AV181" s="186">
        <v>1</v>
      </c>
      <c r="AX181" s="188"/>
      <c r="AY181" s="189"/>
      <c r="AZ181" s="189"/>
      <c r="BA181" s="189"/>
      <c r="BB181" s="183">
        <f>IF($AA181=0,0,IF($D$6=$G$9,AV181,AP181))</f>
        <v>1</v>
      </c>
      <c r="BC181" s="182">
        <f t="shared" si="460"/>
        <v>4</v>
      </c>
      <c r="BD181" s="164" t="str">
        <f t="shared" si="438"/>
        <v>Excellent</v>
      </c>
      <c r="BE181" s="185"/>
      <c r="BF181" s="182">
        <f t="shared" si="461"/>
        <v>4</v>
      </c>
      <c r="BG181" s="164" t="str">
        <f t="shared" si="440"/>
        <v>Excellent</v>
      </c>
      <c r="BH181" s="185"/>
      <c r="BI181" s="182">
        <f t="shared" si="462"/>
        <v>4</v>
      </c>
      <c r="BJ181" s="164" t="str">
        <f t="shared" si="442"/>
        <v>Excellent</v>
      </c>
      <c r="BK181" s="185"/>
      <c r="BN181" s="167"/>
      <c r="BO181" s="167"/>
      <c r="BP181" s="167" t="str">
        <f t="shared" si="340"/>
        <v/>
      </c>
      <c r="BQ181" s="167">
        <f t="shared" si="393"/>
        <v>9</v>
      </c>
      <c r="BR181" s="167">
        <f t="shared" si="394"/>
        <v>9</v>
      </c>
      <c r="BS181" s="167">
        <f t="shared" si="395"/>
        <v>9</v>
      </c>
      <c r="BV181" s="167"/>
      <c r="BW181" s="167"/>
      <c r="BX181" s="167"/>
      <c r="BY181" s="167"/>
      <c r="BZ181" s="167"/>
      <c r="CA181" s="167"/>
    </row>
    <row r="182" spans="1:80" x14ac:dyDescent="0.25">
      <c r="A182" s="96">
        <v>174</v>
      </c>
      <c r="B182" s="96" t="str">
        <f t="shared" si="483"/>
        <v>LE 04c</v>
      </c>
      <c r="C182" s="188" t="s">
        <v>700</v>
      </c>
      <c r="D182" s="1122" t="s">
        <v>683</v>
      </c>
      <c r="E182" s="788">
        <v>3</v>
      </c>
      <c r="F182" s="788">
        <v>3</v>
      </c>
      <c r="G182" s="788">
        <v>3</v>
      </c>
      <c r="H182" s="788">
        <v>3</v>
      </c>
      <c r="I182" s="788">
        <v>3</v>
      </c>
      <c r="J182" s="788">
        <v>3</v>
      </c>
      <c r="K182" s="788">
        <v>3</v>
      </c>
      <c r="L182" s="788">
        <v>3</v>
      </c>
      <c r="M182" s="788">
        <v>3</v>
      </c>
      <c r="N182" s="788">
        <v>3</v>
      </c>
      <c r="O182" s="788">
        <v>3</v>
      </c>
      <c r="P182" s="788">
        <v>3</v>
      </c>
      <c r="Q182" s="788">
        <v>3</v>
      </c>
      <c r="S182" s="221">
        <f t="shared" si="429"/>
        <v>3</v>
      </c>
      <c r="T182" s="166"/>
      <c r="U182" s="167"/>
      <c r="V182" s="167"/>
      <c r="W182" s="167"/>
      <c r="X182" s="168"/>
      <c r="Y182" s="168">
        <f>VLOOKUP(B182,'Manuell filtrering og justering'!$A$7:$H$253,'Manuell filtrering og justering'!$H$1,FALSE)</f>
        <v>3</v>
      </c>
      <c r="Z182" s="169">
        <f t="shared" si="431"/>
        <v>0</v>
      </c>
      <c r="AA182" s="170">
        <f>IF($AB$5='Manuell filtrering og justering'!$J$2,Y182,(S182-Z182))</f>
        <v>3</v>
      </c>
      <c r="AC182" s="171">
        <f t="shared" si="432"/>
        <v>2.368421052631579E-2</v>
      </c>
      <c r="AD182" s="171">
        <f t="shared" si="444"/>
        <v>0</v>
      </c>
      <c r="AE182" s="171">
        <f t="shared" si="445"/>
        <v>0</v>
      </c>
      <c r="AF182" s="171">
        <f t="shared" si="446"/>
        <v>0</v>
      </c>
      <c r="AH182" s="1082">
        <f>IF(AH243=AD_no,0,IF(VLOOKUP(D182,'Pre-Assessment Estimator'!$E$11:$Z$224,'Pre-Assessment Estimator'!$G$2,FALSE)&gt;AA182,AA182,VLOOKUP(D182,'Pre-Assessment Estimator'!$E$11:$Z$224,'Pre-Assessment Estimator'!$G$2,FALSE)))</f>
        <v>0</v>
      </c>
      <c r="AI182" s="1082">
        <f>IF(AI243=AD_no,0,IF(VLOOKUP(D182,'Pre-Assessment Estimator'!$E$11:$Z$224,'Pre-Assessment Estimator'!$N$2,FALSE)&gt;AA182,AA182,VLOOKUP(D182,'Pre-Assessment Estimator'!$E$11:$Z$224,'Pre-Assessment Estimator'!$N$2,FALSE)))</f>
        <v>0</v>
      </c>
      <c r="AJ182" s="1082">
        <f>IF(AJ243=AD_no,0,IF(VLOOKUP(D182,'Pre-Assessment Estimator'!$E$11:$Z$224,'Pre-Assessment Estimator'!$U$2,FALSE)&gt;AA182,AA182,VLOOKUP(D182,'Pre-Assessment Estimator'!$E$11:$Z$224,'Pre-Assessment Estimator'!$U$2,FALSE)))</f>
        <v>0</v>
      </c>
      <c r="AL182" s="292"/>
      <c r="AM182" s="293"/>
      <c r="AN182" s="293"/>
      <c r="AO182" s="181"/>
      <c r="AP182" s="186"/>
      <c r="AQ182" s="139"/>
      <c r="AR182" s="291"/>
      <c r="AS182" s="181"/>
      <c r="AT182" s="181"/>
      <c r="AU182" s="181"/>
      <c r="AV182" s="186"/>
      <c r="AX182" s="188"/>
      <c r="AY182" s="189"/>
      <c r="AZ182" s="189"/>
      <c r="BA182" s="189"/>
      <c r="BB182" s="190"/>
      <c r="BC182" s="182">
        <f t="shared" si="460"/>
        <v>9</v>
      </c>
      <c r="BD182" s="164" t="str">
        <f t="shared" si="438"/>
        <v>N/A</v>
      </c>
      <c r="BE182" s="185"/>
      <c r="BF182" s="182">
        <f t="shared" si="461"/>
        <v>9</v>
      </c>
      <c r="BG182" s="164" t="str">
        <f t="shared" si="440"/>
        <v>N/A</v>
      </c>
      <c r="BH182" s="185"/>
      <c r="BI182" s="182">
        <f t="shared" si="462"/>
        <v>9</v>
      </c>
      <c r="BJ182" s="164" t="str">
        <f t="shared" si="442"/>
        <v>N/A</v>
      </c>
      <c r="BK182" s="185"/>
      <c r="BN182" s="167"/>
      <c r="BO182" s="167"/>
      <c r="BP182" s="167" t="str">
        <f t="shared" si="340"/>
        <v/>
      </c>
      <c r="BQ182" s="167">
        <f t="shared" si="393"/>
        <v>9</v>
      </c>
      <c r="BR182" s="167">
        <f t="shared" si="394"/>
        <v>9</v>
      </c>
      <c r="BS182" s="167">
        <f t="shared" si="395"/>
        <v>9</v>
      </c>
      <c r="BV182" s="167"/>
      <c r="BW182" s="167"/>
      <c r="BX182" s="167"/>
      <c r="BY182" s="167"/>
      <c r="BZ182" s="167"/>
      <c r="CA182" s="167"/>
    </row>
    <row r="183" spans="1:80" x14ac:dyDescent="0.25">
      <c r="A183" s="96">
        <v>175</v>
      </c>
      <c r="B183" s="137" t="str">
        <f>C183</f>
        <v>LE 05</v>
      </c>
      <c r="C183" s="960" t="s">
        <v>185</v>
      </c>
      <c r="D183" s="845" t="s">
        <v>474</v>
      </c>
      <c r="E183" s="947">
        <f>SUM(E184:E186)</f>
        <v>2</v>
      </c>
      <c r="F183" s="947">
        <f t="shared" ref="F183:Q183" si="484">SUM(F184:F186)</f>
        <v>2</v>
      </c>
      <c r="G183" s="947">
        <f t="shared" si="484"/>
        <v>2</v>
      </c>
      <c r="H183" s="947">
        <f t="shared" si="484"/>
        <v>2</v>
      </c>
      <c r="I183" s="947">
        <f t="shared" si="484"/>
        <v>2</v>
      </c>
      <c r="J183" s="947">
        <f t="shared" si="484"/>
        <v>2</v>
      </c>
      <c r="K183" s="947">
        <f t="shared" si="484"/>
        <v>2</v>
      </c>
      <c r="L183" s="947">
        <f t="shared" si="484"/>
        <v>2</v>
      </c>
      <c r="M183" s="947">
        <f t="shared" si="484"/>
        <v>2</v>
      </c>
      <c r="N183" s="947">
        <f t="shared" si="484"/>
        <v>2</v>
      </c>
      <c r="O183" s="947">
        <f t="shared" si="484"/>
        <v>2</v>
      </c>
      <c r="P183" s="947">
        <f t="shared" ref="P183" si="485">SUM(P184:P186)</f>
        <v>2</v>
      </c>
      <c r="Q183" s="947">
        <f t="shared" si="484"/>
        <v>2</v>
      </c>
      <c r="S183" s="977">
        <f t="shared" si="429"/>
        <v>2</v>
      </c>
      <c r="T183" s="222"/>
      <c r="U183" s="230"/>
      <c r="V183" s="230"/>
      <c r="W183" s="230">
        <f>'Manuell filtrering og justering'!E79</f>
        <v>0</v>
      </c>
      <c r="X183" s="230"/>
      <c r="Y183" s="972">
        <f t="shared" ref="Y183" si="486">SUM(Y184:Y186)</f>
        <v>2</v>
      </c>
      <c r="Z183" s="977">
        <f t="shared" si="431"/>
        <v>0</v>
      </c>
      <c r="AA183" s="1081">
        <f>SUM(AA184:AA186)</f>
        <v>2</v>
      </c>
      <c r="AC183" s="171">
        <f t="shared" si="432"/>
        <v>1.5789473684210527E-2</v>
      </c>
      <c r="AD183" s="935">
        <f>SUM(AD184:AD186)</f>
        <v>0</v>
      </c>
      <c r="AE183" s="935">
        <f t="shared" ref="AE183" si="487">SUM(AE184:AE186)</f>
        <v>0</v>
      </c>
      <c r="AF183" s="935">
        <f t="shared" ref="AF183" si="488">SUM(AF184:AF186)</f>
        <v>0</v>
      </c>
      <c r="AH183" s="972">
        <f t="shared" ref="AH183" si="489">SUM(AH184:AH186)</f>
        <v>0</v>
      </c>
      <c r="AI183" s="972">
        <f t="shared" ref="AI183" si="490">SUM(AI184:AI186)</f>
        <v>0</v>
      </c>
      <c r="AJ183" s="972">
        <f t="shared" ref="AJ183" si="491">SUM(AJ184:AJ186)</f>
        <v>0</v>
      </c>
      <c r="AL183" s="292"/>
      <c r="AM183" s="293"/>
      <c r="AN183" s="293"/>
      <c r="AO183" s="181"/>
      <c r="AP183" s="186"/>
      <c r="AQ183" s="139"/>
      <c r="AR183" s="291"/>
      <c r="AS183" s="181"/>
      <c r="AT183" s="181"/>
      <c r="AU183" s="181"/>
      <c r="AV183" s="186"/>
      <c r="AX183" s="188"/>
      <c r="AY183" s="189"/>
      <c r="AZ183" s="189"/>
      <c r="BA183" s="189"/>
      <c r="BB183" s="190"/>
      <c r="BC183" s="182">
        <f t="shared" si="460"/>
        <v>9</v>
      </c>
      <c r="BD183" s="164" t="str">
        <f t="shared" si="438"/>
        <v>N/A</v>
      </c>
      <c r="BE183" s="185"/>
      <c r="BF183" s="182">
        <f t="shared" si="461"/>
        <v>9</v>
      </c>
      <c r="BG183" s="164" t="str">
        <f t="shared" si="440"/>
        <v>N/A</v>
      </c>
      <c r="BH183" s="185"/>
      <c r="BI183" s="182">
        <f t="shared" si="462"/>
        <v>9</v>
      </c>
      <c r="BJ183" s="164" t="str">
        <f t="shared" si="442"/>
        <v>N/A</v>
      </c>
      <c r="BK183" s="185"/>
      <c r="BN183" s="167"/>
      <c r="BO183" s="167"/>
      <c r="BP183" s="167" t="str">
        <f t="shared" si="340"/>
        <v/>
      </c>
      <c r="BQ183" s="167">
        <f t="shared" si="393"/>
        <v>9</v>
      </c>
      <c r="BR183" s="167">
        <f t="shared" si="394"/>
        <v>9</v>
      </c>
      <c r="BS183" s="167">
        <f t="shared" si="395"/>
        <v>9</v>
      </c>
      <c r="BV183" s="167" t="str">
        <f>C183</f>
        <v>LE 05</v>
      </c>
      <c r="BW183" s="167" t="str">
        <f>IFERROR(VLOOKUP($D183,'Pre-Assessment Estimator'!$E$11:$AB$224,'Pre-Assessment Estimator'!AB$2,FALSE),"")</f>
        <v>N/A</v>
      </c>
      <c r="BX183" s="167">
        <f>IFERROR(VLOOKUP($D183,'Pre-Assessment Estimator'!$E$11:$AI$224,'Pre-Assessment Estimator'!AI$2,FALSE),"")</f>
        <v>0</v>
      </c>
      <c r="BY183" s="167">
        <f>IFERROR(VLOOKUP($BW183,$D$291:$G$324,E$289,FALSE),"")</f>
        <v>1</v>
      </c>
      <c r="BZ183" s="167">
        <f>IFERROR(VLOOKUP($BW183,$D$291:$G$324,F$289,FALSE),"")</f>
        <v>0</v>
      </c>
      <c r="CA183" s="167"/>
      <c r="CB183" s="96" t="str">
        <f>IFERROR(VLOOKUP($BW183,$D$291:$G$324,H$289,FALSE),"")</f>
        <v/>
      </c>
    </row>
    <row r="184" spans="1:80" x14ac:dyDescent="0.25">
      <c r="A184" s="96">
        <v>176</v>
      </c>
      <c r="C184" s="188" t="s">
        <v>696</v>
      </c>
      <c r="D184" s="954" t="s">
        <v>684</v>
      </c>
      <c r="E184" s="788"/>
      <c r="F184" s="788"/>
      <c r="G184" s="788"/>
      <c r="H184" s="788"/>
      <c r="I184" s="788"/>
      <c r="J184" s="788"/>
      <c r="K184" s="788"/>
      <c r="L184" s="788"/>
      <c r="M184" s="788"/>
      <c r="N184" s="788"/>
      <c r="O184" s="788"/>
      <c r="P184" s="788"/>
      <c r="Q184" s="788"/>
      <c r="S184" s="221">
        <f t="shared" si="429"/>
        <v>0</v>
      </c>
      <c r="T184" s="166"/>
      <c r="U184" s="167"/>
      <c r="V184" s="167"/>
      <c r="W184" s="167"/>
      <c r="X184" s="168"/>
      <c r="Y184" s="168"/>
      <c r="Z184" s="169">
        <f t="shared" si="431"/>
        <v>0</v>
      </c>
      <c r="AA184" s="170">
        <f>IF($AB$5='Manuell filtrering og justering'!$J$2,Y184,(S184-Z184))</f>
        <v>0</v>
      </c>
      <c r="AC184" s="171">
        <f t="shared" si="432"/>
        <v>0</v>
      </c>
      <c r="AD184" s="171">
        <f t="shared" si="444"/>
        <v>0</v>
      </c>
      <c r="AE184" s="171">
        <f t="shared" si="445"/>
        <v>0</v>
      </c>
      <c r="AF184" s="171">
        <f t="shared" si="446"/>
        <v>0</v>
      </c>
      <c r="AH184" s="172">
        <f>IF(VLOOKUP(D184,'Pre-Assessment Estimator'!$E$11:$Z$224,'Pre-Assessment Estimator'!$G$2,FALSE)&gt;AA184,AA184,VLOOKUP(D184,'Pre-Assessment Estimator'!$E$11:$Z$224,'Pre-Assessment Estimator'!$G$2,FALSE))</f>
        <v>0</v>
      </c>
      <c r="AI184" s="172">
        <f>IF(VLOOKUP(D184,'Pre-Assessment Estimator'!$E$11:$Z$224,'Pre-Assessment Estimator'!$N$2,FALSE)&gt;AA184,AA184,VLOOKUP(D184,'Pre-Assessment Estimator'!$E$11:$Z$224,'Pre-Assessment Estimator'!$N$2,FALSE))</f>
        <v>0</v>
      </c>
      <c r="AJ184" s="172">
        <f>IF(VLOOKUP(D184,'Pre-Assessment Estimator'!$E$11:$Z$224,'Pre-Assessment Estimator'!$U$2,FALSE)&gt;AA184,AA184,VLOOKUP(D184,'Pre-Assessment Estimator'!$E$11:$Z$224,'Pre-Assessment Estimator'!$U$2,FALSE))</f>
        <v>0</v>
      </c>
      <c r="AL184" s="292"/>
      <c r="AM184" s="293"/>
      <c r="AN184" s="293"/>
      <c r="AO184" s="181"/>
      <c r="AP184" s="186"/>
      <c r="AQ184" s="139"/>
      <c r="AR184" s="291"/>
      <c r="AS184" s="181"/>
      <c r="AT184" s="181"/>
      <c r="AU184" s="181"/>
      <c r="AV184" s="186"/>
      <c r="AX184" s="188"/>
      <c r="AY184" s="189"/>
      <c r="AZ184" s="189"/>
      <c r="BA184" s="190"/>
      <c r="BB184" s="190"/>
      <c r="BC184" s="182">
        <f t="shared" si="460"/>
        <v>9</v>
      </c>
      <c r="BD184" s="164" t="str">
        <f t="shared" si="438"/>
        <v>N/A</v>
      </c>
      <c r="BE184" s="185"/>
      <c r="BF184" s="182">
        <f t="shared" si="461"/>
        <v>9</v>
      </c>
      <c r="BG184" s="164" t="str">
        <f t="shared" si="440"/>
        <v>N/A</v>
      </c>
      <c r="BH184" s="185"/>
      <c r="BI184" s="182">
        <f t="shared" si="462"/>
        <v>9</v>
      </c>
      <c r="BJ184" s="164" t="str">
        <f t="shared" si="442"/>
        <v>N/A</v>
      </c>
      <c r="BK184" s="185"/>
      <c r="BN184" s="167"/>
      <c r="BO184" s="167"/>
      <c r="BP184" s="167" t="str">
        <f t="shared" si="340"/>
        <v/>
      </c>
      <c r="BQ184" s="167">
        <f t="shared" si="393"/>
        <v>9</v>
      </c>
      <c r="BR184" s="167">
        <f t="shared" si="394"/>
        <v>9</v>
      </c>
      <c r="BS184" s="167">
        <f t="shared" si="395"/>
        <v>9</v>
      </c>
      <c r="BV184" s="167"/>
      <c r="BW184" s="167"/>
      <c r="BX184" s="167"/>
      <c r="BY184" s="167"/>
      <c r="BZ184" s="167"/>
      <c r="CA184" s="167"/>
    </row>
    <row r="185" spans="1:80" x14ac:dyDescent="0.25">
      <c r="A185" s="96">
        <v>177</v>
      </c>
      <c r="B185" s="96" t="str">
        <f t="shared" ref="B185:B186" si="492">$C$183&amp;C185</f>
        <v>LE 05b</v>
      </c>
      <c r="C185" s="188" t="s">
        <v>699</v>
      </c>
      <c r="D185" s="1122" t="s">
        <v>685</v>
      </c>
      <c r="E185" s="788">
        <v>1</v>
      </c>
      <c r="F185" s="788">
        <v>1</v>
      </c>
      <c r="G185" s="788">
        <v>1</v>
      </c>
      <c r="H185" s="788">
        <v>1</v>
      </c>
      <c r="I185" s="788">
        <v>1</v>
      </c>
      <c r="J185" s="788">
        <v>1</v>
      </c>
      <c r="K185" s="788">
        <v>1</v>
      </c>
      <c r="L185" s="788">
        <v>1</v>
      </c>
      <c r="M185" s="788">
        <v>1</v>
      </c>
      <c r="N185" s="788">
        <v>1</v>
      </c>
      <c r="O185" s="788">
        <v>1</v>
      </c>
      <c r="P185" s="788">
        <v>1</v>
      </c>
      <c r="Q185" s="788">
        <v>1</v>
      </c>
      <c r="S185" s="221">
        <f t="shared" si="429"/>
        <v>1</v>
      </c>
      <c r="T185" s="166"/>
      <c r="U185" s="167"/>
      <c r="V185" s="167"/>
      <c r="W185" s="167"/>
      <c r="X185" s="168"/>
      <c r="Y185" s="168">
        <f>VLOOKUP(B185,'Manuell filtrering og justering'!$A$7:$H$253,'Manuell filtrering og justering'!$H$1,FALSE)</f>
        <v>1</v>
      </c>
      <c r="Z185" s="169">
        <f t="shared" si="431"/>
        <v>0</v>
      </c>
      <c r="AA185" s="170">
        <f>IF($AB$5='Manuell filtrering og justering'!$J$2,Y185,(S185-Z185))</f>
        <v>1</v>
      </c>
      <c r="AC185" s="171">
        <f t="shared" si="432"/>
        <v>7.8947368421052634E-3</v>
      </c>
      <c r="AD185" s="171">
        <f t="shared" si="444"/>
        <v>0</v>
      </c>
      <c r="AE185" s="171">
        <f t="shared" si="445"/>
        <v>0</v>
      </c>
      <c r="AF185" s="171">
        <f t="shared" si="446"/>
        <v>0</v>
      </c>
      <c r="AH185" s="1082">
        <f>IF(AH244=AD_no,0,IF(VLOOKUP(D185,'Pre-Assessment Estimator'!$E$11:$Z$224,'Pre-Assessment Estimator'!$G$2,FALSE)&gt;AA185,AA185,VLOOKUP(D185,'Pre-Assessment Estimator'!$E$11:$Z$224,'Pre-Assessment Estimator'!$G$2,FALSE)))</f>
        <v>0</v>
      </c>
      <c r="AI185" s="1082">
        <f>IF(AI244=AD_no,0,IF(VLOOKUP(D185,'Pre-Assessment Estimator'!$E$11:$Z$224,'Pre-Assessment Estimator'!$N$2,FALSE)&gt;AA185,AA185,VLOOKUP(D185,'Pre-Assessment Estimator'!$E$11:$Z$224,'Pre-Assessment Estimator'!$N$2,FALSE)))</f>
        <v>0</v>
      </c>
      <c r="AJ185" s="1082">
        <f>IF(AJ244=AD_no,0,IF(VLOOKUP(D185,'Pre-Assessment Estimator'!$E$11:$Z$224,'Pre-Assessment Estimator'!$U$2,FALSE)&gt;AA185,AA185,VLOOKUP(D185,'Pre-Assessment Estimator'!$E$11:$Z$224,'Pre-Assessment Estimator'!$U$2,FALSE)))</f>
        <v>0</v>
      </c>
      <c r="AL185" s="292"/>
      <c r="AM185" s="293"/>
      <c r="AN185" s="293"/>
      <c r="AO185" s="181"/>
      <c r="AP185" s="186"/>
      <c r="AQ185" s="139"/>
      <c r="AR185" s="291"/>
      <c r="AS185" s="181"/>
      <c r="AT185" s="181"/>
      <c r="AU185" s="181"/>
      <c r="AV185" s="186"/>
      <c r="AX185" s="188"/>
      <c r="AY185" s="189"/>
      <c r="AZ185" s="189"/>
      <c r="BA185" s="190"/>
      <c r="BB185" s="190"/>
      <c r="BC185" s="182">
        <f t="shared" si="460"/>
        <v>9</v>
      </c>
      <c r="BD185" s="164" t="str">
        <f t="shared" si="438"/>
        <v>N/A</v>
      </c>
      <c r="BE185" s="185"/>
      <c r="BF185" s="182">
        <f t="shared" si="461"/>
        <v>9</v>
      </c>
      <c r="BG185" s="164" t="str">
        <f t="shared" si="440"/>
        <v>N/A</v>
      </c>
      <c r="BH185" s="185"/>
      <c r="BI185" s="182">
        <f t="shared" si="462"/>
        <v>9</v>
      </c>
      <c r="BJ185" s="164" t="str">
        <f t="shared" si="442"/>
        <v>N/A</v>
      </c>
      <c r="BK185" s="185"/>
      <c r="BN185" s="167"/>
      <c r="BO185" s="167"/>
      <c r="BP185" s="167" t="str">
        <f t="shared" si="340"/>
        <v/>
      </c>
      <c r="BQ185" s="167">
        <f t="shared" si="393"/>
        <v>9</v>
      </c>
      <c r="BR185" s="167">
        <f t="shared" si="394"/>
        <v>9</v>
      </c>
      <c r="BS185" s="167">
        <f t="shared" si="395"/>
        <v>9</v>
      </c>
      <c r="BV185" s="167"/>
      <c r="BW185" s="167"/>
      <c r="BX185" s="167"/>
      <c r="BY185" s="167"/>
      <c r="BZ185" s="167"/>
      <c r="CA185" s="167"/>
    </row>
    <row r="186" spans="1:80" x14ac:dyDescent="0.25">
      <c r="A186" s="96">
        <v>178</v>
      </c>
      <c r="B186" s="96" t="str">
        <f t="shared" si="492"/>
        <v>LE 05c</v>
      </c>
      <c r="C186" s="188" t="s">
        <v>700</v>
      </c>
      <c r="D186" s="1122" t="s">
        <v>686</v>
      </c>
      <c r="E186" s="788">
        <v>1</v>
      </c>
      <c r="F186" s="788">
        <v>1</v>
      </c>
      <c r="G186" s="788">
        <v>1</v>
      </c>
      <c r="H186" s="788">
        <v>1</v>
      </c>
      <c r="I186" s="788">
        <v>1</v>
      </c>
      <c r="J186" s="788">
        <v>1</v>
      </c>
      <c r="K186" s="788">
        <v>1</v>
      </c>
      <c r="L186" s="788">
        <v>1</v>
      </c>
      <c r="M186" s="788">
        <v>1</v>
      </c>
      <c r="N186" s="788">
        <v>1</v>
      </c>
      <c r="O186" s="788">
        <v>1</v>
      </c>
      <c r="P186" s="788">
        <v>1</v>
      </c>
      <c r="Q186" s="788">
        <v>1</v>
      </c>
      <c r="S186" s="221">
        <f t="shared" si="429"/>
        <v>1</v>
      </c>
      <c r="T186" s="166"/>
      <c r="U186" s="167"/>
      <c r="V186" s="167"/>
      <c r="W186" s="167"/>
      <c r="X186" s="168"/>
      <c r="Y186" s="168">
        <f>VLOOKUP(B186,'Manuell filtrering og justering'!$A$7:$H$253,'Manuell filtrering og justering'!$H$1,FALSE)</f>
        <v>1</v>
      </c>
      <c r="Z186" s="169">
        <f t="shared" si="431"/>
        <v>0</v>
      </c>
      <c r="AA186" s="170">
        <f>IF($AB$5='Manuell filtrering og justering'!$J$2,Y186,(S186-Z186))</f>
        <v>1</v>
      </c>
      <c r="AC186" s="171">
        <f t="shared" si="432"/>
        <v>7.8947368421052634E-3</v>
      </c>
      <c r="AD186" s="171">
        <f t="shared" si="444"/>
        <v>0</v>
      </c>
      <c r="AE186" s="171">
        <f t="shared" si="445"/>
        <v>0</v>
      </c>
      <c r="AF186" s="171">
        <f t="shared" si="446"/>
        <v>0</v>
      </c>
      <c r="AH186" s="1082">
        <f>IF(AH244=AD_no,0,IF(VLOOKUP(D186,'Pre-Assessment Estimator'!$E$11:$Z$224,'Pre-Assessment Estimator'!$G$2,FALSE)&gt;AA186,AA186,VLOOKUP(D186,'Pre-Assessment Estimator'!$E$11:$Z$224,'Pre-Assessment Estimator'!$G$2,FALSE)))</f>
        <v>0</v>
      </c>
      <c r="AI186" s="1082">
        <f>IF(AI244=AD_no,0,IF(VLOOKUP(D186,'Pre-Assessment Estimator'!$E$11:$Z$224,'Pre-Assessment Estimator'!$N$2,FALSE)&gt;AA186,AA186,VLOOKUP(D186,'Pre-Assessment Estimator'!$E$11:$Z$224,'Pre-Assessment Estimator'!$N$2,FALSE)))</f>
        <v>0</v>
      </c>
      <c r="AJ186" s="1082">
        <f>IF(AJ244=AD_no,0,IF(VLOOKUP(D186,'Pre-Assessment Estimator'!$E$11:$Z$224,'Pre-Assessment Estimator'!$U$2,FALSE)&gt;AA186,AA186,VLOOKUP(D186,'Pre-Assessment Estimator'!$E$11:$Z$224,'Pre-Assessment Estimator'!$U$2,FALSE)))</f>
        <v>0</v>
      </c>
      <c r="AL186" s="292"/>
      <c r="AM186" s="293"/>
      <c r="AN186" s="293"/>
      <c r="AO186" s="181"/>
      <c r="AP186" s="186"/>
      <c r="AQ186" s="139"/>
      <c r="AR186" s="291"/>
      <c r="AS186" s="181"/>
      <c r="AT186" s="181"/>
      <c r="AU186" s="181"/>
      <c r="AV186" s="186"/>
      <c r="AX186" s="188"/>
      <c r="AY186" s="189"/>
      <c r="AZ186" s="189"/>
      <c r="BA186" s="190"/>
      <c r="BB186" s="190"/>
      <c r="BC186" s="182">
        <f t="shared" si="460"/>
        <v>9</v>
      </c>
      <c r="BD186" s="164" t="str">
        <f t="shared" si="438"/>
        <v>N/A</v>
      </c>
      <c r="BE186" s="185"/>
      <c r="BF186" s="182">
        <f t="shared" si="461"/>
        <v>9</v>
      </c>
      <c r="BG186" s="164" t="str">
        <f t="shared" si="440"/>
        <v>N/A</v>
      </c>
      <c r="BH186" s="185"/>
      <c r="BI186" s="182">
        <f t="shared" si="462"/>
        <v>9</v>
      </c>
      <c r="BJ186" s="164" t="str">
        <f t="shared" si="442"/>
        <v>N/A</v>
      </c>
      <c r="BK186" s="185"/>
      <c r="BN186" s="167"/>
      <c r="BO186" s="167"/>
      <c r="BP186" s="167" t="str">
        <f t="shared" si="340"/>
        <v/>
      </c>
      <c r="BQ186" s="167">
        <f t="shared" si="393"/>
        <v>9</v>
      </c>
      <c r="BR186" s="167">
        <f t="shared" si="394"/>
        <v>9</v>
      </c>
      <c r="BS186" s="167">
        <f t="shared" si="395"/>
        <v>9</v>
      </c>
      <c r="BV186" s="167"/>
      <c r="BW186" s="167"/>
      <c r="BX186" s="167"/>
      <c r="BY186" s="167"/>
      <c r="BZ186" s="167"/>
      <c r="CA186" s="167"/>
    </row>
    <row r="187" spans="1:80" x14ac:dyDescent="0.25">
      <c r="A187" s="96">
        <v>179</v>
      </c>
      <c r="B187" s="137" t="str">
        <f>C187</f>
        <v>LE 06</v>
      </c>
      <c r="C187" s="960" t="s">
        <v>186</v>
      </c>
      <c r="D187" s="845" t="s">
        <v>693</v>
      </c>
      <c r="E187" s="947">
        <f>E188</f>
        <v>1</v>
      </c>
      <c r="F187" s="947">
        <f t="shared" ref="F187:Q187" si="493">F188</f>
        <v>1</v>
      </c>
      <c r="G187" s="947">
        <f t="shared" si="493"/>
        <v>1</v>
      </c>
      <c r="H187" s="947">
        <f t="shared" si="493"/>
        <v>1</v>
      </c>
      <c r="I187" s="947">
        <f t="shared" si="493"/>
        <v>1</v>
      </c>
      <c r="J187" s="947">
        <f t="shared" si="493"/>
        <v>1</v>
      </c>
      <c r="K187" s="947">
        <f>K188</f>
        <v>1</v>
      </c>
      <c r="L187" s="947">
        <f t="shared" si="493"/>
        <v>1</v>
      </c>
      <c r="M187" s="947">
        <f t="shared" si="493"/>
        <v>1</v>
      </c>
      <c r="N187" s="947">
        <f t="shared" si="493"/>
        <v>1</v>
      </c>
      <c r="O187" s="947">
        <f t="shared" si="493"/>
        <v>1</v>
      </c>
      <c r="P187" s="947">
        <f t="shared" si="493"/>
        <v>1</v>
      </c>
      <c r="Q187" s="947">
        <f t="shared" si="493"/>
        <v>1</v>
      </c>
      <c r="S187" s="977">
        <f t="shared" si="429"/>
        <v>1</v>
      </c>
      <c r="T187" s="222"/>
      <c r="U187" s="230"/>
      <c r="V187" s="230"/>
      <c r="W187" s="230">
        <f>'Manuell filtrering og justering'!E80</f>
        <v>0</v>
      </c>
      <c r="X187" s="230"/>
      <c r="Y187" s="972">
        <f t="shared" ref="Y187" si="494">Y188</f>
        <v>1</v>
      </c>
      <c r="Z187" s="977">
        <f t="shared" si="431"/>
        <v>0</v>
      </c>
      <c r="AA187" s="1081">
        <f>SUM(AA188)</f>
        <v>1</v>
      </c>
      <c r="AC187" s="171">
        <f t="shared" si="432"/>
        <v>7.8947368421052634E-3</v>
      </c>
      <c r="AD187" s="935">
        <f>SUM(AD188)</f>
        <v>0</v>
      </c>
      <c r="AE187" s="935">
        <f t="shared" ref="AE187" si="495">SUM(AE188)</f>
        <v>0</v>
      </c>
      <c r="AF187" s="935">
        <f t="shared" ref="AF187" si="496">SUM(AF188)</f>
        <v>0</v>
      </c>
      <c r="AH187" s="972">
        <f t="shared" ref="AH187" si="497">AH188</f>
        <v>0</v>
      </c>
      <c r="AI187" s="972">
        <f t="shared" ref="AI187" si="498">AI188</f>
        <v>0</v>
      </c>
      <c r="AJ187" s="972">
        <f t="shared" ref="AJ187" si="499">AJ188</f>
        <v>0</v>
      </c>
      <c r="AL187" s="292"/>
      <c r="AM187" s="293"/>
      <c r="AN187" s="293"/>
      <c r="AO187" s="181"/>
      <c r="AP187" s="186"/>
      <c r="AQ187" s="139"/>
      <c r="AR187" s="291"/>
      <c r="AS187" s="181"/>
      <c r="AT187" s="181"/>
      <c r="AU187" s="181"/>
      <c r="AV187" s="186"/>
      <c r="AX187" s="188"/>
      <c r="AY187" s="189"/>
      <c r="AZ187" s="189"/>
      <c r="BA187" s="190"/>
      <c r="BB187" s="190"/>
      <c r="BC187" s="182">
        <f t="shared" si="460"/>
        <v>9</v>
      </c>
      <c r="BD187" s="164" t="str">
        <f t="shared" si="438"/>
        <v>N/A</v>
      </c>
      <c r="BE187" s="185"/>
      <c r="BF187" s="182">
        <f t="shared" si="461"/>
        <v>9</v>
      </c>
      <c r="BG187" s="164" t="str">
        <f t="shared" si="440"/>
        <v>N/A</v>
      </c>
      <c r="BH187" s="185"/>
      <c r="BI187" s="182">
        <f t="shared" si="462"/>
        <v>9</v>
      </c>
      <c r="BJ187" s="164" t="str">
        <f t="shared" si="442"/>
        <v>N/A</v>
      </c>
      <c r="BK187" s="185"/>
      <c r="BN187" s="167"/>
      <c r="BO187" s="167"/>
      <c r="BP187" s="167" t="str">
        <f t="shared" si="340"/>
        <v/>
      </c>
      <c r="BQ187" s="167">
        <f t="shared" si="393"/>
        <v>9</v>
      </c>
      <c r="BR187" s="167">
        <f t="shared" si="394"/>
        <v>9</v>
      </c>
      <c r="BS187" s="167">
        <f t="shared" si="395"/>
        <v>9</v>
      </c>
      <c r="BV187" s="167" t="str">
        <f>C187</f>
        <v>LE 06</v>
      </c>
      <c r="BW187" s="167" t="str">
        <f>IFERROR(VLOOKUP($D187,'Pre-Assessment Estimator'!$E$11:$AB$224,'Pre-Assessment Estimator'!AB$2,FALSE),"")</f>
        <v>N/A</v>
      </c>
      <c r="BX187" s="167">
        <f>IFERROR(VLOOKUP($D187,'Pre-Assessment Estimator'!$E$11:$AI$224,'Pre-Assessment Estimator'!AI$2,FALSE),"")</f>
        <v>0</v>
      </c>
      <c r="BY187" s="167">
        <f>IFERROR(VLOOKUP($BW187,$D$291:$G$324,E$289,FALSE),"")</f>
        <v>1</v>
      </c>
      <c r="BZ187" s="167">
        <f>IFERROR(VLOOKUP($BW187,$D$291:$G$324,F$289,FALSE),"")</f>
        <v>0</v>
      </c>
      <c r="CA187" s="167"/>
      <c r="CB187" s="96" t="str">
        <f>IFERROR(VLOOKUP($BW187,$D$291:$G$324,H$289,FALSE),"")</f>
        <v/>
      </c>
    </row>
    <row r="188" spans="1:80" x14ac:dyDescent="0.25">
      <c r="A188" s="96">
        <v>180</v>
      </c>
      <c r="B188" s="96" t="str">
        <f t="shared" ref="B188" si="500">$C$187&amp;C188</f>
        <v>LE 06a</v>
      </c>
      <c r="C188" s="188" t="s">
        <v>696</v>
      </c>
      <c r="D188" s="1122" t="s">
        <v>687</v>
      </c>
      <c r="E188" s="788">
        <v>1</v>
      </c>
      <c r="F188" s="788">
        <v>1</v>
      </c>
      <c r="G188" s="788">
        <v>1</v>
      </c>
      <c r="H188" s="788">
        <v>1</v>
      </c>
      <c r="I188" s="788">
        <v>1</v>
      </c>
      <c r="J188" s="788">
        <v>1</v>
      </c>
      <c r="K188" s="788">
        <v>1</v>
      </c>
      <c r="L188" s="788">
        <v>1</v>
      </c>
      <c r="M188" s="788">
        <v>1</v>
      </c>
      <c r="N188" s="788">
        <v>1</v>
      </c>
      <c r="O188" s="788">
        <v>1</v>
      </c>
      <c r="P188" s="788">
        <v>1</v>
      </c>
      <c r="Q188" s="788">
        <v>1</v>
      </c>
      <c r="S188" s="221">
        <f t="shared" si="429"/>
        <v>1</v>
      </c>
      <c r="T188" s="192"/>
      <c r="U188" s="193"/>
      <c r="V188" s="193"/>
      <c r="W188" s="167"/>
      <c r="X188" s="168"/>
      <c r="Y188" s="168">
        <f>VLOOKUP(B188,'Manuell filtrering og justering'!$A$7:$H$253,'Manuell filtrering og justering'!$H$1,FALSE)</f>
        <v>1</v>
      </c>
      <c r="Z188" s="169">
        <f t="shared" si="431"/>
        <v>0</v>
      </c>
      <c r="AA188" s="170">
        <f>IF($AB$5='Manuell filtrering og justering'!$J$2,Y188,(S188-Z188))</f>
        <v>1</v>
      </c>
      <c r="AC188" s="171">
        <f t="shared" si="432"/>
        <v>7.8947368421052634E-3</v>
      </c>
      <c r="AD188" s="171">
        <f t="shared" si="444"/>
        <v>0</v>
      </c>
      <c r="AE188" s="171">
        <f t="shared" si="445"/>
        <v>0</v>
      </c>
      <c r="AF188" s="171">
        <f t="shared" si="446"/>
        <v>0</v>
      </c>
      <c r="AH188" s="172">
        <f>IF(VLOOKUP(D188,'Pre-Assessment Estimator'!$E$11:$Z$224,'Pre-Assessment Estimator'!$G$2,FALSE)&gt;AA188,AA188,VLOOKUP(D188,'Pre-Assessment Estimator'!$E$11:$Z$224,'Pre-Assessment Estimator'!$G$2,FALSE))</f>
        <v>0</v>
      </c>
      <c r="AI188" s="172">
        <f>IF(VLOOKUP(D188,'Pre-Assessment Estimator'!$E$11:$Z$224,'Pre-Assessment Estimator'!$N$2,FALSE)&gt;AA188,AA188,VLOOKUP(D188,'Pre-Assessment Estimator'!$E$11:$Z$224,'Pre-Assessment Estimator'!$N$2,FALSE))</f>
        <v>0</v>
      </c>
      <c r="AJ188" s="172">
        <f>IF(VLOOKUP(D188,'Pre-Assessment Estimator'!$E$11:$Z$224,'Pre-Assessment Estimator'!$U$2,FALSE)&gt;AA188,AA188,VLOOKUP(D188,'Pre-Assessment Estimator'!$E$11:$Z$224,'Pre-Assessment Estimator'!$U$2,FALSE))</f>
        <v>0</v>
      </c>
      <c r="AL188" s="292"/>
      <c r="AM188" s="293"/>
      <c r="AN188" s="293"/>
      <c r="AO188" s="181">
        <v>1</v>
      </c>
      <c r="AP188" s="186">
        <v>1</v>
      </c>
      <c r="AQ188" s="139"/>
      <c r="AR188" s="291"/>
      <c r="AS188" s="181"/>
      <c r="AT188" s="181"/>
      <c r="AU188" s="181">
        <v>1</v>
      </c>
      <c r="AV188" s="186">
        <v>1</v>
      </c>
      <c r="AX188" s="188"/>
      <c r="AY188" s="189"/>
      <c r="AZ188" s="189"/>
      <c r="BA188" s="183">
        <f>IF($AA188=0,0,IF($D$6=$G$9,AU188,AO188))</f>
        <v>1</v>
      </c>
      <c r="BB188" s="183">
        <f>IF($AA188=0,0,IF($D$6=$G$9,AV188,AP188))</f>
        <v>1</v>
      </c>
      <c r="BC188" s="182">
        <f t="shared" si="460"/>
        <v>3</v>
      </c>
      <c r="BD188" s="164" t="str">
        <f t="shared" si="438"/>
        <v>Very Good</v>
      </c>
      <c r="BE188" s="185"/>
      <c r="BF188" s="182">
        <f t="shared" si="461"/>
        <v>3</v>
      </c>
      <c r="BG188" s="164" t="str">
        <f t="shared" si="440"/>
        <v>Very Good</v>
      </c>
      <c r="BH188" s="185"/>
      <c r="BI188" s="182">
        <f t="shared" si="462"/>
        <v>3</v>
      </c>
      <c r="BJ188" s="164" t="str">
        <f t="shared" si="442"/>
        <v>Very Good</v>
      </c>
      <c r="BK188" s="185"/>
      <c r="BN188" s="167"/>
      <c r="BO188" s="167">
        <v>1</v>
      </c>
      <c r="BP188" s="167">
        <f t="shared" si="340"/>
        <v>1</v>
      </c>
      <c r="BQ188" s="167">
        <f t="shared" si="393"/>
        <v>0</v>
      </c>
      <c r="BR188" s="167">
        <f t="shared" si="394"/>
        <v>0</v>
      </c>
      <c r="BS188" s="167">
        <f t="shared" si="395"/>
        <v>0</v>
      </c>
      <c r="BV188" s="314"/>
      <c r="BW188" s="314"/>
      <c r="BX188" s="314"/>
      <c r="BY188" s="314"/>
      <c r="BZ188" s="314"/>
      <c r="CA188" s="314"/>
    </row>
    <row r="189" spans="1:80" x14ac:dyDescent="0.25">
      <c r="A189" s="96">
        <v>181</v>
      </c>
      <c r="B189" s="137" t="str">
        <f>C189</f>
        <v>LE 07</v>
      </c>
      <c r="C189" s="960" t="s">
        <v>483</v>
      </c>
      <c r="D189" s="845" t="s">
        <v>694</v>
      </c>
      <c r="E189" s="947">
        <f>SUM(E190:E191)</f>
        <v>2</v>
      </c>
      <c r="F189" s="947">
        <f t="shared" ref="F189:Q189" si="501">SUM(F190:F191)</f>
        <v>2</v>
      </c>
      <c r="G189" s="947">
        <f t="shared" si="501"/>
        <v>2</v>
      </c>
      <c r="H189" s="947">
        <f t="shared" si="501"/>
        <v>2</v>
      </c>
      <c r="I189" s="947">
        <f t="shared" si="501"/>
        <v>2</v>
      </c>
      <c r="J189" s="947">
        <f t="shared" si="501"/>
        <v>2</v>
      </c>
      <c r="K189" s="947">
        <f t="shared" si="501"/>
        <v>2</v>
      </c>
      <c r="L189" s="947">
        <f t="shared" si="501"/>
        <v>2</v>
      </c>
      <c r="M189" s="947">
        <f t="shared" si="501"/>
        <v>2</v>
      </c>
      <c r="N189" s="947">
        <f t="shared" si="501"/>
        <v>2</v>
      </c>
      <c r="O189" s="947">
        <f t="shared" si="501"/>
        <v>2</v>
      </c>
      <c r="P189" s="947">
        <f t="shared" ref="P189" si="502">SUM(P190:P191)</f>
        <v>2</v>
      </c>
      <c r="Q189" s="947">
        <f t="shared" si="501"/>
        <v>2</v>
      </c>
      <c r="S189" s="977">
        <f t="shared" si="429"/>
        <v>2</v>
      </c>
      <c r="T189" s="739"/>
      <c r="U189" s="978"/>
      <c r="V189" s="978"/>
      <c r="W189" s="230">
        <f>'Manuell filtrering og justering'!E81</f>
        <v>0</v>
      </c>
      <c r="X189" s="230"/>
      <c r="Y189" s="972">
        <f t="shared" ref="Y189" si="503">SUM(Y190:Y191)</f>
        <v>2</v>
      </c>
      <c r="Z189" s="977">
        <f t="shared" si="431"/>
        <v>0</v>
      </c>
      <c r="AA189" s="1081">
        <f t="shared" ref="AA189" si="504">SUM(AA190:AA191)</f>
        <v>2</v>
      </c>
      <c r="AC189" s="171">
        <f t="shared" si="432"/>
        <v>1.5789473684210527E-2</v>
      </c>
      <c r="AD189" s="935">
        <f>SUM(AD190:AD191)</f>
        <v>0</v>
      </c>
      <c r="AE189" s="935">
        <f t="shared" ref="AE189:AF189" si="505">SUM(AE190:AE191)</f>
        <v>0</v>
      </c>
      <c r="AF189" s="935">
        <f t="shared" si="505"/>
        <v>0</v>
      </c>
      <c r="AH189" s="972">
        <f t="shared" ref="AH189" si="506">SUM(AH190:AH191)</f>
        <v>0</v>
      </c>
      <c r="AI189" s="972">
        <f t="shared" ref="AI189" si="507">SUM(AI190:AI191)</f>
        <v>0</v>
      </c>
      <c r="AJ189" s="972">
        <f t="shared" ref="AJ189" si="508">SUM(AJ190:AJ191)</f>
        <v>0</v>
      </c>
      <c r="AL189" s="292"/>
      <c r="AM189" s="293"/>
      <c r="AN189" s="293"/>
      <c r="AO189" s="293"/>
      <c r="AP189" s="294"/>
      <c r="AQ189" s="139"/>
      <c r="AR189" s="292"/>
      <c r="AS189" s="293"/>
      <c r="AT189" s="293"/>
      <c r="AU189" s="293"/>
      <c r="AV189" s="294"/>
      <c r="AX189" s="188"/>
      <c r="AY189" s="189"/>
      <c r="AZ189" s="189"/>
      <c r="BA189" s="189"/>
      <c r="BB189" s="190"/>
      <c r="BC189" s="182">
        <f t="shared" si="460"/>
        <v>9</v>
      </c>
      <c r="BD189" s="164" t="str">
        <f t="shared" si="438"/>
        <v>N/A</v>
      </c>
      <c r="BE189" s="185"/>
      <c r="BF189" s="182">
        <f t="shared" si="461"/>
        <v>9</v>
      </c>
      <c r="BG189" s="164" t="str">
        <f t="shared" si="440"/>
        <v>N/A</v>
      </c>
      <c r="BH189" s="185"/>
      <c r="BI189" s="182">
        <f t="shared" si="462"/>
        <v>9</v>
      </c>
      <c r="BJ189" s="164" t="str">
        <f t="shared" si="442"/>
        <v>N/A</v>
      </c>
      <c r="BK189" s="185"/>
      <c r="BN189" s="167"/>
      <c r="BO189" s="167"/>
      <c r="BP189" s="167" t="str">
        <f t="shared" si="340"/>
        <v/>
      </c>
      <c r="BQ189" s="167">
        <f t="shared" si="393"/>
        <v>9</v>
      </c>
      <c r="BR189" s="167">
        <f t="shared" si="394"/>
        <v>9</v>
      </c>
      <c r="BS189" s="167">
        <f t="shared" si="395"/>
        <v>9</v>
      </c>
      <c r="BV189" s="314" t="str">
        <f>C189</f>
        <v>LE 07</v>
      </c>
      <c r="BW189" s="314"/>
      <c r="BX189" s="314"/>
      <c r="BY189" s="314"/>
      <c r="BZ189" s="314"/>
      <c r="CA189" s="314"/>
    </row>
    <row r="190" spans="1:80" x14ac:dyDescent="0.25">
      <c r="A190" s="96">
        <v>182</v>
      </c>
      <c r="C190" s="188" t="s">
        <v>696</v>
      </c>
      <c r="D190" s="954" t="s">
        <v>997</v>
      </c>
      <c r="E190" s="788"/>
      <c r="F190" s="788"/>
      <c r="G190" s="788"/>
      <c r="H190" s="788"/>
      <c r="I190" s="788"/>
      <c r="J190" s="788"/>
      <c r="K190" s="788"/>
      <c r="L190" s="788"/>
      <c r="M190" s="788"/>
      <c r="N190" s="788"/>
      <c r="O190" s="788"/>
      <c r="P190" s="788"/>
      <c r="Q190" s="788"/>
      <c r="S190" s="221">
        <f t="shared" si="429"/>
        <v>0</v>
      </c>
      <c r="T190" s="192"/>
      <c r="U190" s="193"/>
      <c r="V190" s="193"/>
      <c r="W190" s="167"/>
      <c r="X190" s="168"/>
      <c r="Y190" s="168"/>
      <c r="Z190" s="169">
        <f t="shared" si="431"/>
        <v>0</v>
      </c>
      <c r="AA190" s="170">
        <f>IF($AB$5='Manuell filtrering og justering'!$J$2,Y190,(S190-Z190))</f>
        <v>0</v>
      </c>
      <c r="AC190" s="171">
        <f t="shared" si="432"/>
        <v>0</v>
      </c>
      <c r="AD190" s="171">
        <f t="shared" si="444"/>
        <v>0</v>
      </c>
      <c r="AE190" s="171">
        <f t="shared" si="445"/>
        <v>0</v>
      </c>
      <c r="AF190" s="171">
        <f t="shared" si="446"/>
        <v>0</v>
      </c>
      <c r="AH190" s="172">
        <f>IF(VLOOKUP(D190,'Pre-Assessment Estimator'!$E$11:$Z$224,'Pre-Assessment Estimator'!$G$2,FALSE)&gt;AA190,AA190,VLOOKUP(D190,'Pre-Assessment Estimator'!$E$11:$Z$224,'Pre-Assessment Estimator'!$G$2,FALSE))</f>
        <v>0</v>
      </c>
      <c r="AI190" s="172">
        <f>IF(VLOOKUP(D190,'Pre-Assessment Estimator'!$E$11:$Z$224,'Pre-Assessment Estimator'!$N$2,FALSE)&gt;AA190,AA190,VLOOKUP(D190,'Pre-Assessment Estimator'!$E$11:$Z$224,'Pre-Assessment Estimator'!$N$2,FALSE))</f>
        <v>0</v>
      </c>
      <c r="AJ190" s="172">
        <f>IF(VLOOKUP(D190,'Pre-Assessment Estimator'!$E$11:$Z$224,'Pre-Assessment Estimator'!$U$2,FALSE)&gt;AA190,AA190,VLOOKUP(D190,'Pre-Assessment Estimator'!$E$11:$Z$224,'Pre-Assessment Estimator'!$U$2,FALSE))</f>
        <v>0</v>
      </c>
      <c r="AL190" s="863"/>
      <c r="AM190" s="864"/>
      <c r="AN190" s="864"/>
      <c r="AO190" s="864"/>
      <c r="AP190" s="856"/>
      <c r="AQ190" s="139"/>
      <c r="AR190" s="863"/>
      <c r="AS190" s="864"/>
      <c r="AT190" s="864"/>
      <c r="AU190" s="864"/>
      <c r="AV190" s="856"/>
      <c r="AX190" s="742"/>
      <c r="AY190" s="744"/>
      <c r="AZ190" s="744"/>
      <c r="BA190" s="744"/>
      <c r="BB190" s="865"/>
      <c r="BC190" s="182">
        <f t="shared" si="460"/>
        <v>9</v>
      </c>
      <c r="BD190" s="164" t="str">
        <f t="shared" si="438"/>
        <v>N/A</v>
      </c>
      <c r="BE190" s="185"/>
      <c r="BF190" s="182">
        <f t="shared" si="461"/>
        <v>9</v>
      </c>
      <c r="BG190" s="164" t="str">
        <f t="shared" si="440"/>
        <v>N/A</v>
      </c>
      <c r="BH190" s="185"/>
      <c r="BI190" s="182">
        <f t="shared" si="462"/>
        <v>9</v>
      </c>
      <c r="BJ190" s="164" t="str">
        <f t="shared" si="442"/>
        <v>N/A</v>
      </c>
      <c r="BK190" s="860"/>
      <c r="BN190" s="167"/>
      <c r="BO190" s="167"/>
      <c r="BP190" s="167" t="str">
        <f t="shared" si="340"/>
        <v/>
      </c>
      <c r="BQ190" s="167">
        <f t="shared" si="393"/>
        <v>9</v>
      </c>
      <c r="BR190" s="167">
        <f t="shared" si="394"/>
        <v>9</v>
      </c>
      <c r="BS190" s="167">
        <f t="shared" si="395"/>
        <v>9</v>
      </c>
      <c r="BV190" s="314"/>
      <c r="BW190" s="314"/>
      <c r="BX190" s="314"/>
      <c r="BY190" s="314"/>
      <c r="BZ190" s="314"/>
      <c r="CA190" s="314"/>
    </row>
    <row r="191" spans="1:80" x14ac:dyDescent="0.25">
      <c r="A191" s="96">
        <v>183</v>
      </c>
      <c r="B191" s="96" t="str">
        <f t="shared" ref="B191" si="509">$C$189&amp;C191</f>
        <v>LE 07b</v>
      </c>
      <c r="C191" s="188" t="s">
        <v>699</v>
      </c>
      <c r="D191" s="1122" t="s">
        <v>689</v>
      </c>
      <c r="E191" s="788">
        <v>2</v>
      </c>
      <c r="F191" s="788">
        <v>2</v>
      </c>
      <c r="G191" s="788">
        <v>2</v>
      </c>
      <c r="H191" s="788">
        <v>2</v>
      </c>
      <c r="I191" s="788">
        <v>2</v>
      </c>
      <c r="J191" s="788">
        <v>2</v>
      </c>
      <c r="K191" s="788">
        <v>2</v>
      </c>
      <c r="L191" s="788">
        <v>2</v>
      </c>
      <c r="M191" s="788">
        <v>2</v>
      </c>
      <c r="N191" s="788">
        <v>2</v>
      </c>
      <c r="O191" s="788">
        <v>2</v>
      </c>
      <c r="P191" s="788">
        <v>2</v>
      </c>
      <c r="Q191" s="788">
        <v>2</v>
      </c>
      <c r="S191" s="221">
        <f t="shared" si="429"/>
        <v>2</v>
      </c>
      <c r="T191" s="192"/>
      <c r="U191" s="193"/>
      <c r="V191" s="193"/>
      <c r="W191" s="167"/>
      <c r="X191" s="168"/>
      <c r="Y191" s="168">
        <f>VLOOKUP(B191,'Manuell filtrering og justering'!$A$7:$H$253,'Manuell filtrering og justering'!$H$1,FALSE)</f>
        <v>2</v>
      </c>
      <c r="Z191" s="169">
        <f t="shared" si="431"/>
        <v>0</v>
      </c>
      <c r="AA191" s="170">
        <f>IF($AB$5='Manuell filtrering og justering'!$J$2,Y191,(S191-Z191))</f>
        <v>2</v>
      </c>
      <c r="AC191" s="171">
        <f t="shared" si="432"/>
        <v>1.5789473684210527E-2</v>
      </c>
      <c r="AD191" s="171">
        <f t="shared" si="444"/>
        <v>0</v>
      </c>
      <c r="AE191" s="171">
        <f t="shared" si="445"/>
        <v>0</v>
      </c>
      <c r="AF191" s="171">
        <f t="shared" si="446"/>
        <v>0</v>
      </c>
      <c r="AH191" s="1082">
        <f>IF(AH246=AD_no,0,IF(VLOOKUP(D191,'Pre-Assessment Estimator'!$E$11:$Z$224,'Pre-Assessment Estimator'!$G$2,FALSE)&gt;AA191,AA191,VLOOKUP(D191,'Pre-Assessment Estimator'!$E$11:$Z$224,'Pre-Assessment Estimator'!$G$2,FALSE)))</f>
        <v>0</v>
      </c>
      <c r="AI191" s="1082">
        <f>IF(AI246=AD_no,0,IF(VLOOKUP(D191,'Pre-Assessment Estimator'!$E$11:$Z$224,'Pre-Assessment Estimator'!$N$2,FALSE)&gt;AA191,AA191,VLOOKUP(D191,'Pre-Assessment Estimator'!$E$11:$Z$224,'Pre-Assessment Estimator'!$N$2,FALSE)))</f>
        <v>0</v>
      </c>
      <c r="AJ191" s="1082">
        <f>IF(AJ246=AD_no,0,IF(VLOOKUP(D191,'Pre-Assessment Estimator'!$E$11:$Z$224,'Pre-Assessment Estimator'!$U$2,FALSE)&gt;AA191,AA191,VLOOKUP(D191,'Pre-Assessment Estimator'!$E$11:$Z$224,'Pre-Assessment Estimator'!$U$2,FALSE)))</f>
        <v>0</v>
      </c>
      <c r="AL191" s="863"/>
      <c r="AM191" s="864"/>
      <c r="AN191" s="864"/>
      <c r="AO191" s="864"/>
      <c r="AP191" s="856"/>
      <c r="AQ191" s="139"/>
      <c r="AR191" s="863"/>
      <c r="AS191" s="864"/>
      <c r="AT191" s="864"/>
      <c r="AU191" s="864"/>
      <c r="AV191" s="856"/>
      <c r="AX191" s="742"/>
      <c r="AY191" s="744"/>
      <c r="AZ191" s="744"/>
      <c r="BA191" s="744"/>
      <c r="BB191" s="865"/>
      <c r="BC191" s="182">
        <f t="shared" si="460"/>
        <v>9</v>
      </c>
      <c r="BD191" s="164" t="str">
        <f t="shared" si="438"/>
        <v>N/A</v>
      </c>
      <c r="BE191" s="185"/>
      <c r="BF191" s="182">
        <f t="shared" si="461"/>
        <v>9</v>
      </c>
      <c r="BG191" s="164" t="str">
        <f t="shared" si="440"/>
        <v>N/A</v>
      </c>
      <c r="BH191" s="185"/>
      <c r="BI191" s="182">
        <f t="shared" si="462"/>
        <v>9</v>
      </c>
      <c r="BJ191" s="164" t="str">
        <f t="shared" si="442"/>
        <v>N/A</v>
      </c>
      <c r="BK191" s="860"/>
      <c r="BN191" s="167"/>
      <c r="BO191" s="167"/>
      <c r="BP191" s="167" t="str">
        <f t="shared" si="340"/>
        <v/>
      </c>
      <c r="BQ191" s="167">
        <f t="shared" si="393"/>
        <v>9</v>
      </c>
      <c r="BR191" s="167">
        <f t="shared" si="394"/>
        <v>9</v>
      </c>
      <c r="BS191" s="167">
        <f t="shared" si="395"/>
        <v>9</v>
      </c>
      <c r="BV191" s="314"/>
      <c r="BW191" s="314"/>
      <c r="BX191" s="314"/>
      <c r="BY191" s="314"/>
      <c r="BZ191" s="314"/>
      <c r="CA191" s="314"/>
    </row>
    <row r="192" spans="1:80" ht="15.75" thickBot="1" x14ac:dyDescent="0.3">
      <c r="A192" s="96">
        <v>184</v>
      </c>
      <c r="B192" s="137" t="str">
        <f>C192</f>
        <v>LE 08</v>
      </c>
      <c r="C192" s="960" t="s">
        <v>484</v>
      </c>
      <c r="D192" s="845" t="s">
        <v>695</v>
      </c>
      <c r="E192" s="947">
        <f>SUM(E193:E196)</f>
        <v>3</v>
      </c>
      <c r="F192" s="947">
        <f t="shared" ref="F192:Q192" si="510">SUM(F193:F196)</f>
        <v>3</v>
      </c>
      <c r="G192" s="947">
        <f t="shared" si="510"/>
        <v>3</v>
      </c>
      <c r="H192" s="947">
        <f t="shared" si="510"/>
        <v>3</v>
      </c>
      <c r="I192" s="947">
        <f t="shared" si="510"/>
        <v>3</v>
      </c>
      <c r="J192" s="947">
        <f t="shared" si="510"/>
        <v>3</v>
      </c>
      <c r="K192" s="947">
        <f t="shared" si="510"/>
        <v>3</v>
      </c>
      <c r="L192" s="947">
        <f t="shared" si="510"/>
        <v>3</v>
      </c>
      <c r="M192" s="947">
        <f t="shared" si="510"/>
        <v>3</v>
      </c>
      <c r="N192" s="947">
        <f t="shared" si="510"/>
        <v>3</v>
      </c>
      <c r="O192" s="947">
        <f t="shared" si="510"/>
        <v>3</v>
      </c>
      <c r="P192" s="947">
        <f t="shared" ref="P192" si="511">SUM(P193:P196)</f>
        <v>3</v>
      </c>
      <c r="Q192" s="947">
        <f t="shared" si="510"/>
        <v>3</v>
      </c>
      <c r="S192" s="977">
        <f t="shared" si="429"/>
        <v>3</v>
      </c>
      <c r="T192" s="739"/>
      <c r="U192" s="978"/>
      <c r="V192" s="978"/>
      <c r="W192" s="230">
        <f>'Manuell filtrering og justering'!E82</f>
        <v>0</v>
      </c>
      <c r="X192" s="230"/>
      <c r="Y192" s="972">
        <f t="shared" ref="Y192" si="512">SUM(Y193:Y196)</f>
        <v>1</v>
      </c>
      <c r="Z192" s="977">
        <f t="shared" si="431"/>
        <v>0</v>
      </c>
      <c r="AA192" s="1081">
        <f>SUM(AA193:AA196)</f>
        <v>3</v>
      </c>
      <c r="AC192" s="171">
        <f t="shared" si="432"/>
        <v>2.368421052631579E-2</v>
      </c>
      <c r="AD192" s="935">
        <f>SUM(AD193:AD196)</f>
        <v>0</v>
      </c>
      <c r="AE192" s="935">
        <f t="shared" ref="AE192" si="513">SUM(AE193:AE196)</f>
        <v>0</v>
      </c>
      <c r="AF192" s="935">
        <f t="shared" ref="AF192" si="514">SUM(AF193:AF196)</f>
        <v>0</v>
      </c>
      <c r="AH192" s="972">
        <f t="shared" ref="AH192" si="515">SUM(AH193:AH196)</f>
        <v>0</v>
      </c>
      <c r="AI192" s="972">
        <f t="shared" ref="AI192" si="516">SUM(AI193:AI196)</f>
        <v>0</v>
      </c>
      <c r="AJ192" s="972">
        <f t="shared" ref="AJ192" si="517">SUM(AJ193:AJ196)</f>
        <v>0</v>
      </c>
      <c r="AL192" s="295"/>
      <c r="AM192" s="296"/>
      <c r="AN192" s="296"/>
      <c r="AO192" s="296"/>
      <c r="AP192" s="297"/>
      <c r="AQ192" s="139"/>
      <c r="AR192" s="295"/>
      <c r="AS192" s="296"/>
      <c r="AT192" s="296"/>
      <c r="AU192" s="296"/>
      <c r="AV192" s="297"/>
      <c r="AX192" s="194"/>
      <c r="AY192" s="196"/>
      <c r="AZ192" s="196"/>
      <c r="BA192" s="196"/>
      <c r="BB192" s="197"/>
      <c r="BC192" s="198">
        <f t="shared" ref="BC192:BC196" si="518">IF(BB192=0,9,IF(AH192&gt;=BB192,5,IF(AH192&gt;=BA192,4,IF(AH192&gt;=AZ192,3,IF(AH192&gt;=AY192,2,IF(AH192&lt;AX192,0,1))))))</f>
        <v>9</v>
      </c>
      <c r="BD192" s="164" t="str">
        <f t="shared" si="438"/>
        <v>N/A</v>
      </c>
      <c r="BE192" s="200"/>
      <c r="BF192" s="198">
        <f t="shared" ref="BF192:BF196" si="519">IF(BB192=0,9,IF(AI192&gt;=BB192,5,IF(AI192&gt;=BA192,4,IF(AI192&gt;=AZ192,3,IF(AI192&gt;=AY192,2,IF(AI192&lt;AX192,0,1))))))</f>
        <v>9</v>
      </c>
      <c r="BG192" s="164" t="str">
        <f t="shared" si="440"/>
        <v>N/A</v>
      </c>
      <c r="BH192" s="200"/>
      <c r="BI192" s="198">
        <f t="shared" ref="BI192:BI196" si="520">IF(BB192=0,9,IF(AJ192&gt;=BB192,5,IF(AJ192&gt;=BA192,4,IF(AJ192&gt;=AZ192,3,IF(AJ192&gt;=AY192,2,IF(AJ192&lt;AX192,0,1))))))</f>
        <v>9</v>
      </c>
      <c r="BJ192" s="164" t="str">
        <f t="shared" si="442"/>
        <v>N/A</v>
      </c>
      <c r="BK192" s="200"/>
      <c r="BN192" s="167"/>
      <c r="BO192" s="167"/>
      <c r="BP192" s="167" t="str">
        <f t="shared" si="340"/>
        <v/>
      </c>
      <c r="BQ192" s="167">
        <f t="shared" si="393"/>
        <v>9</v>
      </c>
      <c r="BR192" s="167">
        <f t="shared" si="394"/>
        <v>9</v>
      </c>
      <c r="BS192" s="167">
        <f t="shared" si="395"/>
        <v>9</v>
      </c>
      <c r="BV192" s="314" t="str">
        <f>C192</f>
        <v>LE 08</v>
      </c>
      <c r="BW192" s="314"/>
      <c r="BX192" s="314"/>
      <c r="BY192" s="314"/>
      <c r="BZ192" s="314"/>
      <c r="CA192" s="314"/>
    </row>
    <row r="193" spans="1:84" x14ac:dyDescent="0.25">
      <c r="A193" s="96">
        <v>185</v>
      </c>
      <c r="C193" s="188" t="s">
        <v>696</v>
      </c>
      <c r="D193" s="954" t="s">
        <v>1000</v>
      </c>
      <c r="E193" s="788"/>
      <c r="F193" s="788"/>
      <c r="G193" s="788"/>
      <c r="H193" s="788"/>
      <c r="I193" s="788"/>
      <c r="J193" s="788"/>
      <c r="K193" s="788"/>
      <c r="L193" s="788"/>
      <c r="M193" s="788"/>
      <c r="N193" s="788"/>
      <c r="O193" s="788"/>
      <c r="P193" s="788"/>
      <c r="Q193" s="788"/>
      <c r="S193" s="221">
        <f t="shared" si="429"/>
        <v>0</v>
      </c>
      <c r="T193" s="192"/>
      <c r="U193" s="193"/>
      <c r="V193" s="193"/>
      <c r="W193" s="193"/>
      <c r="X193" s="1181"/>
      <c r="Y193" s="168"/>
      <c r="Z193" s="169">
        <f t="shared" si="431"/>
        <v>0</v>
      </c>
      <c r="AA193" s="170">
        <f>IF($AB$5='Manuell filtrering og justering'!$J$2,Y193,(S193-Z193))</f>
        <v>0</v>
      </c>
      <c r="AC193" s="171">
        <f t="shared" si="432"/>
        <v>0</v>
      </c>
      <c r="AD193" s="171">
        <f t="shared" si="444"/>
        <v>0</v>
      </c>
      <c r="AE193" s="171">
        <f t="shared" si="445"/>
        <v>0</v>
      </c>
      <c r="AF193" s="171">
        <f t="shared" si="446"/>
        <v>0</v>
      </c>
      <c r="AH193" s="172">
        <f>IF(VLOOKUP(D193,'Pre-Assessment Estimator'!$E$11:$Z$224,'Pre-Assessment Estimator'!$G$2,FALSE)&gt;AA193,AA193,VLOOKUP(D193,'Pre-Assessment Estimator'!$E$11:$Z$224,'Pre-Assessment Estimator'!$G$2,FALSE))</f>
        <v>0</v>
      </c>
      <c r="AI193" s="172">
        <f>IF(VLOOKUP(D193,'Pre-Assessment Estimator'!$E$11:$Z$224,'Pre-Assessment Estimator'!$N$2,FALSE)&gt;AA193,AA193,VLOOKUP(D193,'Pre-Assessment Estimator'!$E$11:$Z$224,'Pre-Assessment Estimator'!$N$2,FALSE))</f>
        <v>0</v>
      </c>
      <c r="AJ193" s="172">
        <f>IF(VLOOKUP(D193,'Pre-Assessment Estimator'!$E$11:$Z$224,'Pre-Assessment Estimator'!$U$2,FALSE)&gt;AA193,AA193,VLOOKUP(D193,'Pre-Assessment Estimator'!$E$11:$Z$224,'Pre-Assessment Estimator'!$U$2,FALSE))</f>
        <v>0</v>
      </c>
      <c r="AL193" s="863"/>
      <c r="AM193" s="864"/>
      <c r="AN193" s="864"/>
      <c r="AO193" s="864"/>
      <c r="AP193" s="856"/>
      <c r="AQ193" s="139"/>
      <c r="AR193" s="863"/>
      <c r="AS193" s="864"/>
      <c r="AT193" s="864"/>
      <c r="AU193" s="864"/>
      <c r="AV193" s="856"/>
      <c r="AX193" s="742"/>
      <c r="AY193" s="744"/>
      <c r="AZ193" s="744"/>
      <c r="BA193" s="744"/>
      <c r="BB193" s="865"/>
      <c r="BC193" s="182">
        <f t="shared" si="518"/>
        <v>9</v>
      </c>
      <c r="BD193" s="164" t="str">
        <f t="shared" si="438"/>
        <v>N/A</v>
      </c>
      <c r="BE193" s="185"/>
      <c r="BF193" s="182">
        <f t="shared" si="519"/>
        <v>9</v>
      </c>
      <c r="BG193" s="164" t="str">
        <f t="shared" si="440"/>
        <v>N/A</v>
      </c>
      <c r="BH193" s="185"/>
      <c r="BI193" s="182">
        <f t="shared" si="520"/>
        <v>9</v>
      </c>
      <c r="BJ193" s="164" t="str">
        <f t="shared" si="442"/>
        <v>N/A</v>
      </c>
      <c r="BK193" s="860"/>
      <c r="BN193" s="167"/>
      <c r="BO193" s="167"/>
      <c r="BP193" s="167" t="str">
        <f t="shared" si="340"/>
        <v/>
      </c>
      <c r="BQ193" s="167">
        <f t="shared" si="393"/>
        <v>9</v>
      </c>
      <c r="BR193" s="167">
        <f t="shared" si="394"/>
        <v>9</v>
      </c>
      <c r="BS193" s="167">
        <f t="shared" si="395"/>
        <v>9</v>
      </c>
      <c r="BV193" s="314"/>
      <c r="BW193" s="314"/>
      <c r="BX193" s="314"/>
      <c r="BY193" s="314"/>
      <c r="BZ193" s="314"/>
      <c r="CA193" s="314"/>
    </row>
    <row r="194" spans="1:84" x14ac:dyDescent="0.25">
      <c r="A194" s="96">
        <v>186</v>
      </c>
      <c r="B194" s="96" t="str">
        <f t="shared" ref="B194:B196" si="521">$C$192&amp;C194</f>
        <v>LE 08b</v>
      </c>
      <c r="C194" s="188" t="s">
        <v>699</v>
      </c>
      <c r="D194" s="1122" t="s">
        <v>965</v>
      </c>
      <c r="E194" s="788">
        <v>1</v>
      </c>
      <c r="F194" s="788">
        <v>1</v>
      </c>
      <c r="G194" s="788">
        <v>1</v>
      </c>
      <c r="H194" s="788">
        <v>1</v>
      </c>
      <c r="I194" s="788">
        <v>1</v>
      </c>
      <c r="J194" s="788">
        <v>1</v>
      </c>
      <c r="K194" s="788">
        <v>1</v>
      </c>
      <c r="L194" s="788">
        <v>1</v>
      </c>
      <c r="M194" s="788">
        <v>1</v>
      </c>
      <c r="N194" s="788">
        <v>1</v>
      </c>
      <c r="O194" s="788">
        <v>1</v>
      </c>
      <c r="P194" s="788">
        <v>1</v>
      </c>
      <c r="Q194" s="788">
        <v>1</v>
      </c>
      <c r="S194" s="221">
        <f t="shared" si="429"/>
        <v>1</v>
      </c>
      <c r="T194" s="192"/>
      <c r="U194" s="193"/>
      <c r="V194" s="193"/>
      <c r="W194" s="193"/>
      <c r="X194" s="1181"/>
      <c r="Y194" s="168">
        <f>VLOOKUP(B194,'Manuell filtrering og justering'!$A$7:$H$253,'Manuell filtrering og justering'!$H$1,FALSE)</f>
        <v>1</v>
      </c>
      <c r="Z194" s="169">
        <f t="shared" si="431"/>
        <v>0</v>
      </c>
      <c r="AA194" s="170">
        <f>IF($AB$5='Manuell filtrering og justering'!$J$2,Y194,(S194-Z194))</f>
        <v>1</v>
      </c>
      <c r="AC194" s="171">
        <f t="shared" si="432"/>
        <v>7.8947368421052634E-3</v>
      </c>
      <c r="AD194" s="171">
        <f t="shared" si="444"/>
        <v>0</v>
      </c>
      <c r="AE194" s="171">
        <f t="shared" si="445"/>
        <v>0</v>
      </c>
      <c r="AF194" s="171">
        <f t="shared" si="446"/>
        <v>0</v>
      </c>
      <c r="AH194" s="1082">
        <f>IF(AH247=AD_no,0,IF(VLOOKUP(D194,'Pre-Assessment Estimator'!$E$11:$Z$224,'Pre-Assessment Estimator'!$G$2,FALSE)&gt;AA194,AA194,VLOOKUP(D194,'Pre-Assessment Estimator'!$E$11:$Z$224,'Pre-Assessment Estimator'!$G$2,FALSE)))</f>
        <v>0</v>
      </c>
      <c r="AI194" s="1082">
        <f>IF(AI247=AD_no,0,IF(VLOOKUP(D194,'Pre-Assessment Estimator'!$E$11:$Z$224,'Pre-Assessment Estimator'!$N$2,FALSE)&gt;AA194,AA194,VLOOKUP(D194,'Pre-Assessment Estimator'!$E$11:$Z$224,'Pre-Assessment Estimator'!$N$2,FALSE)))</f>
        <v>0</v>
      </c>
      <c r="AJ194" s="1082">
        <f>IF(AJ247=AD_no,0,IF(VLOOKUP(D194,'Pre-Assessment Estimator'!$E$11:$Z$224,'Pre-Assessment Estimator'!$U$2,FALSE)&gt;AA194,AA194,VLOOKUP(D194,'Pre-Assessment Estimator'!$E$11:$Z$224,'Pre-Assessment Estimator'!$U$2,FALSE)))</f>
        <v>0</v>
      </c>
      <c r="AL194" s="863"/>
      <c r="AM194" s="864"/>
      <c r="AN194" s="864"/>
      <c r="AO194" s="864"/>
      <c r="AP194" s="856"/>
      <c r="AQ194" s="139"/>
      <c r="AR194" s="863"/>
      <c r="AS194" s="864"/>
      <c r="AT194" s="864"/>
      <c r="AU194" s="864"/>
      <c r="AV194" s="856"/>
      <c r="AX194" s="742"/>
      <c r="AY194" s="744"/>
      <c r="AZ194" s="744"/>
      <c r="BA194" s="744"/>
      <c r="BB194" s="865"/>
      <c r="BC194" s="182">
        <f t="shared" si="518"/>
        <v>9</v>
      </c>
      <c r="BD194" s="164" t="str">
        <f t="shared" si="438"/>
        <v>N/A</v>
      </c>
      <c r="BE194" s="185"/>
      <c r="BF194" s="182">
        <f t="shared" si="519"/>
        <v>9</v>
      </c>
      <c r="BG194" s="164" t="str">
        <f t="shared" si="440"/>
        <v>N/A</v>
      </c>
      <c r="BH194" s="185"/>
      <c r="BI194" s="182">
        <f t="shared" si="520"/>
        <v>9</v>
      </c>
      <c r="BJ194" s="164" t="str">
        <f t="shared" si="442"/>
        <v>N/A</v>
      </c>
      <c r="BK194" s="860"/>
      <c r="BN194" s="167"/>
      <c r="BO194" s="167"/>
      <c r="BP194" s="167" t="str">
        <f t="shared" si="340"/>
        <v/>
      </c>
      <c r="BQ194" s="167">
        <f t="shared" si="393"/>
        <v>9</v>
      </c>
      <c r="BR194" s="167">
        <f t="shared" si="394"/>
        <v>9</v>
      </c>
      <c r="BS194" s="167">
        <f t="shared" si="395"/>
        <v>9</v>
      </c>
      <c r="BV194" s="314"/>
      <c r="BW194" s="314"/>
      <c r="BX194" s="314"/>
      <c r="BY194" s="314"/>
      <c r="BZ194" s="314"/>
      <c r="CA194" s="314"/>
    </row>
    <row r="195" spans="1:84" x14ac:dyDescent="0.25">
      <c r="A195" s="96">
        <v>187</v>
      </c>
      <c r="B195" s="96" t="str">
        <f t="shared" si="521"/>
        <v>LE 08c</v>
      </c>
      <c r="C195" s="742" t="s">
        <v>700</v>
      </c>
      <c r="D195" s="1143" t="s">
        <v>691</v>
      </c>
      <c r="E195" s="955">
        <v>1</v>
      </c>
      <c r="F195" s="955">
        <v>1</v>
      </c>
      <c r="G195" s="955">
        <v>1</v>
      </c>
      <c r="H195" s="955">
        <v>1</v>
      </c>
      <c r="I195" s="955">
        <v>1</v>
      </c>
      <c r="J195" s="955">
        <v>1</v>
      </c>
      <c r="K195" s="955">
        <v>1</v>
      </c>
      <c r="L195" s="955">
        <v>1</v>
      </c>
      <c r="M195" s="955">
        <v>1</v>
      </c>
      <c r="N195" s="955">
        <v>1</v>
      </c>
      <c r="O195" s="955">
        <v>1</v>
      </c>
      <c r="P195" s="955">
        <v>1</v>
      </c>
      <c r="Q195" s="955">
        <v>1</v>
      </c>
      <c r="S195" s="221">
        <f t="shared" si="429"/>
        <v>1</v>
      </c>
      <c r="T195" s="192"/>
      <c r="U195" s="193"/>
      <c r="V195" s="193"/>
      <c r="W195" s="193"/>
      <c r="X195" s="1181"/>
      <c r="Y195" s="168">
        <f>VLOOKUP(B195,'Manuell filtrering og justering'!$A$7:$H$253,'Manuell filtrering og justering'!$H$1,FALSE)</f>
        <v>0</v>
      </c>
      <c r="Z195" s="169">
        <f t="shared" si="431"/>
        <v>0</v>
      </c>
      <c r="AA195" s="170">
        <f>IF($AB$5='Manuell filtrering og justering'!$J$2,Y195,(S195-Z195))</f>
        <v>1</v>
      </c>
      <c r="AC195" s="171">
        <f t="shared" ref="AC195" si="522">(LE_Weight/LE_Credits)*AA195</f>
        <v>7.8947368421052634E-3</v>
      </c>
      <c r="AD195" s="171">
        <f t="shared" ref="AD195" si="523">IF(AA195=0,0,(AC195/AA195)*AH195)</f>
        <v>0</v>
      </c>
      <c r="AE195" s="171">
        <f t="shared" ref="AE195" si="524">IF(AA195=0,0,(AC195/AA195)*AI195)</f>
        <v>0</v>
      </c>
      <c r="AF195" s="171">
        <f t="shared" ref="AF195" si="525">IF(AA195=0,0,(AC195/AA195)*AJ195)</f>
        <v>0</v>
      </c>
      <c r="AH195" s="1082">
        <f>IF(AH247=AD_no,0,IF(VLOOKUP(D195,'Pre-Assessment Estimator'!$E$11:$Z$224,'Pre-Assessment Estimator'!$G$2,FALSE)&gt;AA195,AA195,VLOOKUP(D195,'Pre-Assessment Estimator'!$E$11:$Z$224,'Pre-Assessment Estimator'!$G$2,FALSE)))</f>
        <v>0</v>
      </c>
      <c r="AI195" s="1082">
        <f>IF(AI247=AD_no,0,IF(VLOOKUP(D195,'Pre-Assessment Estimator'!$E$11:$Z$224,'Pre-Assessment Estimator'!$N$2,FALSE)&gt;AA195,AA195,VLOOKUP(D195,'Pre-Assessment Estimator'!$E$11:$Z$224,'Pre-Assessment Estimator'!$N$2,FALSE)))</f>
        <v>0</v>
      </c>
      <c r="AJ195" s="1082">
        <f>IF(AJ247=AD_no,0,IF(VLOOKUP(D195,'Pre-Assessment Estimator'!$E$11:$Z$224,'Pre-Assessment Estimator'!$U$2,FALSE)&gt;AA195,AA195,VLOOKUP(D195,'Pre-Assessment Estimator'!$E$11:$Z$224,'Pre-Assessment Estimator'!$U$2,FALSE)))</f>
        <v>0</v>
      </c>
      <c r="AL195" s="863"/>
      <c r="AM195" s="864"/>
      <c r="AN195" s="864"/>
      <c r="AO195" s="864"/>
      <c r="AP195" s="856"/>
      <c r="AQ195" s="139"/>
      <c r="AR195" s="863"/>
      <c r="AS195" s="864"/>
      <c r="AT195" s="864"/>
      <c r="AU195" s="864"/>
      <c r="AV195" s="856"/>
      <c r="AX195" s="742"/>
      <c r="AY195" s="744"/>
      <c r="AZ195" s="744"/>
      <c r="BA195" s="744"/>
      <c r="BB195" s="865"/>
      <c r="BC195" s="182">
        <f t="shared" ref="BC195" si="526">IF(BB195=0,9,IF(AH195&gt;=BB195,5,IF(AH195&gt;=BA195,4,IF(AH195&gt;=AZ195,3,IF(AH195&gt;=AY195,2,IF(AH195&lt;AX195,0,1))))))</f>
        <v>9</v>
      </c>
      <c r="BD195" s="164" t="str">
        <f t="shared" si="438"/>
        <v>N/A</v>
      </c>
      <c r="BE195" s="185"/>
      <c r="BF195" s="182">
        <f t="shared" ref="BF195" si="527">IF(BB195=0,9,IF(AI195&gt;=BB195,5,IF(AI195&gt;=BA195,4,IF(AI195&gt;=AZ195,3,IF(AI195&gt;=AY195,2,IF(AI195&lt;AX195,0,1))))))</f>
        <v>9</v>
      </c>
      <c r="BG195" s="164" t="str">
        <f t="shared" si="440"/>
        <v>N/A</v>
      </c>
      <c r="BH195" s="185"/>
      <c r="BI195" s="182">
        <f t="shared" ref="BI195" si="528">IF(BB195=0,9,IF(AJ195&gt;=BB195,5,IF(AJ195&gt;=BA195,4,IF(AJ195&gt;=AZ195,3,IF(AJ195&gt;=AY195,2,IF(AJ195&lt;AX195,0,1))))))</f>
        <v>9</v>
      </c>
      <c r="BJ195" s="164" t="str">
        <f t="shared" si="442"/>
        <v>N/A</v>
      </c>
      <c r="BK195" s="860"/>
      <c r="BN195" s="167"/>
      <c r="BO195" s="167"/>
      <c r="BP195" s="167" t="str">
        <f t="shared" si="340"/>
        <v/>
      </c>
      <c r="BQ195" s="167">
        <f t="shared" si="393"/>
        <v>9</v>
      </c>
      <c r="BR195" s="167">
        <f t="shared" si="394"/>
        <v>9</v>
      </c>
      <c r="BS195" s="167">
        <f t="shared" si="395"/>
        <v>9</v>
      </c>
      <c r="BV195" s="314"/>
      <c r="BW195" s="314"/>
      <c r="BX195" s="314"/>
      <c r="BY195" s="314"/>
      <c r="BZ195" s="314"/>
      <c r="CA195" s="314"/>
    </row>
    <row r="196" spans="1:84" ht="15.75" thickBot="1" x14ac:dyDescent="0.3">
      <c r="A196" s="96">
        <v>188</v>
      </c>
      <c r="B196" s="96" t="str">
        <f t="shared" si="521"/>
        <v>LE 08d</v>
      </c>
      <c r="C196" s="742" t="s">
        <v>698</v>
      </c>
      <c r="D196" s="1143" t="s">
        <v>692</v>
      </c>
      <c r="E196" s="955">
        <v>1</v>
      </c>
      <c r="F196" s="955">
        <v>1</v>
      </c>
      <c r="G196" s="955">
        <v>1</v>
      </c>
      <c r="H196" s="955">
        <v>1</v>
      </c>
      <c r="I196" s="955">
        <v>1</v>
      </c>
      <c r="J196" s="955">
        <v>1</v>
      </c>
      <c r="K196" s="955">
        <v>1</v>
      </c>
      <c r="L196" s="955">
        <v>1</v>
      </c>
      <c r="M196" s="955">
        <v>1</v>
      </c>
      <c r="N196" s="955">
        <v>1</v>
      </c>
      <c r="O196" s="955">
        <v>1</v>
      </c>
      <c r="P196" s="955">
        <v>1</v>
      </c>
      <c r="Q196" s="955">
        <v>1</v>
      </c>
      <c r="S196" s="221">
        <f t="shared" si="429"/>
        <v>1</v>
      </c>
      <c r="T196" s="192"/>
      <c r="U196" s="193"/>
      <c r="V196" s="193"/>
      <c r="W196" s="193"/>
      <c r="X196" s="1181"/>
      <c r="Y196" s="168">
        <f>VLOOKUP(B196,'Manuell filtrering og justering'!$A$7:$H$253,'Manuell filtrering og justering'!$H$1,FALSE)</f>
        <v>0</v>
      </c>
      <c r="Z196" s="169">
        <f t="shared" si="431"/>
        <v>0</v>
      </c>
      <c r="AA196" s="170">
        <f>IF($AB$5='Manuell filtrering og justering'!$J$2,Y196,(S196-Z196))</f>
        <v>1</v>
      </c>
      <c r="AC196" s="171">
        <f t="shared" si="432"/>
        <v>7.8947368421052634E-3</v>
      </c>
      <c r="AD196" s="171">
        <f t="shared" si="444"/>
        <v>0</v>
      </c>
      <c r="AE196" s="171">
        <f t="shared" si="445"/>
        <v>0</v>
      </c>
      <c r="AF196" s="171">
        <f t="shared" si="446"/>
        <v>0</v>
      </c>
      <c r="AH196" s="1082">
        <f>IF(AH247=AD_no,0,IF(VLOOKUP(D196,'Pre-Assessment Estimator'!$E$11:$Z$224,'Pre-Assessment Estimator'!$G$2,FALSE)&gt;AA196,AA196,VLOOKUP(D196,'Pre-Assessment Estimator'!$E$11:$Z$224,'Pre-Assessment Estimator'!$G$2,FALSE)))</f>
        <v>0</v>
      </c>
      <c r="AI196" s="1082">
        <f>IF(AI247=AD_no,0,IF(VLOOKUP(D196,'Pre-Assessment Estimator'!$E$11:$Z$224,'Pre-Assessment Estimator'!$N$2,FALSE)&gt;AA196,AA196,VLOOKUP(D196,'Pre-Assessment Estimator'!$E$11:$Z$224,'Pre-Assessment Estimator'!$N$2,FALSE)))</f>
        <v>0</v>
      </c>
      <c r="AJ196" s="1082">
        <f>IF(AJ247=AD_no,0,IF(VLOOKUP(D196,'Pre-Assessment Estimator'!$E$11:$Z$224,'Pre-Assessment Estimator'!$U$2,FALSE)&gt;AA196,AA196,VLOOKUP(D196,'Pre-Assessment Estimator'!$E$11:$Z$224,'Pre-Assessment Estimator'!$U$2,FALSE)))</f>
        <v>0</v>
      </c>
      <c r="AL196" s="863"/>
      <c r="AM196" s="864"/>
      <c r="AN196" s="864"/>
      <c r="AO196" s="864"/>
      <c r="AP196" s="856"/>
      <c r="AQ196" s="139"/>
      <c r="AR196" s="863"/>
      <c r="AS196" s="864"/>
      <c r="AT196" s="864"/>
      <c r="AU196" s="864"/>
      <c r="AV196" s="856"/>
      <c r="AX196" s="742"/>
      <c r="AY196" s="744"/>
      <c r="AZ196" s="744"/>
      <c r="BA196" s="744"/>
      <c r="BB196" s="865"/>
      <c r="BC196" s="182">
        <f t="shared" si="518"/>
        <v>9</v>
      </c>
      <c r="BD196" s="164" t="str">
        <f t="shared" si="438"/>
        <v>N/A</v>
      </c>
      <c r="BE196" s="185"/>
      <c r="BF196" s="182">
        <f t="shared" si="519"/>
        <v>9</v>
      </c>
      <c r="BG196" s="164" t="str">
        <f t="shared" si="440"/>
        <v>N/A</v>
      </c>
      <c r="BH196" s="185"/>
      <c r="BI196" s="182">
        <f t="shared" si="520"/>
        <v>9</v>
      </c>
      <c r="BJ196" s="164" t="str">
        <f t="shared" si="442"/>
        <v>N/A</v>
      </c>
      <c r="BK196" s="860"/>
      <c r="BN196" s="167"/>
      <c r="BO196" s="167"/>
      <c r="BP196" s="167" t="str">
        <f t="shared" si="340"/>
        <v/>
      </c>
      <c r="BQ196" s="167">
        <f t="shared" si="393"/>
        <v>9</v>
      </c>
      <c r="BR196" s="167">
        <f t="shared" si="394"/>
        <v>9</v>
      </c>
      <c r="BS196" s="167">
        <f t="shared" si="395"/>
        <v>9</v>
      </c>
      <c r="BV196" s="314"/>
      <c r="BW196" s="314"/>
      <c r="BX196" s="314"/>
      <c r="BY196" s="314"/>
      <c r="BZ196" s="314"/>
      <c r="CA196" s="314"/>
    </row>
    <row r="197" spans="1:84" ht="15.75" thickBot="1" x14ac:dyDescent="0.3">
      <c r="A197" s="96">
        <v>189</v>
      </c>
      <c r="B197" s="96" t="s">
        <v>893</v>
      </c>
      <c r="C197" s="201"/>
      <c r="D197" s="202" t="s">
        <v>216</v>
      </c>
      <c r="E197" s="786">
        <f>E169+E171+E175+E179+E183+E187+E189+E192</f>
        <v>19</v>
      </c>
      <c r="F197" s="786">
        <f t="shared" ref="F197:Q197" si="529">F169+F171+F175+F179+F183+F187+F189+F192</f>
        <v>19</v>
      </c>
      <c r="G197" s="786">
        <f t="shared" si="529"/>
        <v>19</v>
      </c>
      <c r="H197" s="786">
        <f t="shared" si="529"/>
        <v>19</v>
      </c>
      <c r="I197" s="786">
        <f t="shared" si="529"/>
        <v>19</v>
      </c>
      <c r="J197" s="786">
        <f t="shared" si="529"/>
        <v>19</v>
      </c>
      <c r="K197" s="786">
        <f t="shared" si="529"/>
        <v>19</v>
      </c>
      <c r="L197" s="786">
        <f t="shared" si="529"/>
        <v>19</v>
      </c>
      <c r="M197" s="786">
        <f t="shared" si="529"/>
        <v>19</v>
      </c>
      <c r="N197" s="786">
        <f t="shared" si="529"/>
        <v>19</v>
      </c>
      <c r="O197" s="786">
        <f t="shared" si="529"/>
        <v>19</v>
      </c>
      <c r="P197" s="1142">
        <f t="shared" ref="P197" si="530">P169+P171+P175+P179+P183+P187+P189+P192</f>
        <v>19</v>
      </c>
      <c r="Q197" s="1142">
        <f t="shared" si="529"/>
        <v>19</v>
      </c>
      <c r="S197" s="226">
        <f t="shared" si="429"/>
        <v>19</v>
      </c>
      <c r="T197" s="204"/>
      <c r="U197" s="205"/>
      <c r="V197" s="205"/>
      <c r="W197" s="205"/>
      <c r="X197" s="206"/>
      <c r="Y197" s="206"/>
      <c r="Z197" s="787">
        <f t="shared" ref="Z197:AF197" si="531">Z169+Z171+Z175+Z179+Z183+Z187+Z189+Z192</f>
        <v>0</v>
      </c>
      <c r="AA197" s="787">
        <f t="shared" si="531"/>
        <v>19</v>
      </c>
      <c r="AC197" s="208">
        <f t="shared" si="531"/>
        <v>0.15</v>
      </c>
      <c r="AD197" s="208">
        <f t="shared" si="531"/>
        <v>0</v>
      </c>
      <c r="AE197" s="208">
        <f t="shared" si="531"/>
        <v>0</v>
      </c>
      <c r="AF197" s="208">
        <f t="shared" si="531"/>
        <v>0</v>
      </c>
      <c r="AH197" s="78">
        <f t="shared" ref="AH197:AJ197" si="532">AH169+AH171+AH175+AH179+AH183+AH187+AH189+AH192</f>
        <v>0</v>
      </c>
      <c r="AI197" s="78">
        <f t="shared" si="532"/>
        <v>0</v>
      </c>
      <c r="AJ197" s="78">
        <f t="shared" si="532"/>
        <v>0</v>
      </c>
      <c r="AL197" s="139"/>
      <c r="AM197" s="139"/>
      <c r="AN197" s="139"/>
      <c r="AO197" s="139"/>
      <c r="AP197" s="139"/>
      <c r="AQ197" s="139"/>
      <c r="AR197" s="139"/>
      <c r="AS197" s="139"/>
      <c r="AT197" s="139"/>
      <c r="AU197" s="139"/>
      <c r="AV197" s="139"/>
      <c r="AX197" s="97"/>
      <c r="AY197" s="209"/>
      <c r="AZ197" s="97"/>
      <c r="BA197" s="97"/>
      <c r="BB197" s="97"/>
      <c r="BV197" s="202"/>
      <c r="BW197" s="202" t="str">
        <f>IFERROR(VLOOKUP($D197,'Pre-Assessment Estimator'!$E$11:$AB$224,'Pre-Assessment Estimator'!AB$2,FALSE),"")</f>
        <v/>
      </c>
      <c r="BX197" s="202" t="str">
        <f>IFERROR(VLOOKUP($D197,'Pre-Assessment Estimator'!$E$11:$AI$224,'Pre-Assessment Estimator'!AI$2,FALSE),"")</f>
        <v/>
      </c>
      <c r="BY197" s="202" t="str">
        <f t="shared" ref="BY197:BZ199" si="533">IFERROR(VLOOKUP($BW197,$D$291:$G$324,E$289,FALSE),"")</f>
        <v/>
      </c>
      <c r="BZ197" s="202" t="str">
        <f t="shared" si="533"/>
        <v/>
      </c>
      <c r="CA197" s="202"/>
      <c r="CB197" s="96" t="str">
        <f>IFERROR(VLOOKUP($BW197,$D$291:$G$324,H$289,FALSE),"")</f>
        <v/>
      </c>
    </row>
    <row r="198" spans="1:84" ht="15.75" thickBot="1" x14ac:dyDescent="0.3">
      <c r="A198" s="96">
        <v>190</v>
      </c>
      <c r="AH198" s="3"/>
      <c r="AI198" s="3"/>
      <c r="AJ198" s="3"/>
      <c r="AL198" s="139"/>
      <c r="AM198" s="139"/>
      <c r="AN198" s="139"/>
      <c r="AO198" s="139"/>
      <c r="AP198" s="139"/>
      <c r="AQ198" s="139"/>
      <c r="AR198" s="139"/>
      <c r="AS198" s="139"/>
      <c r="AT198" s="139"/>
      <c r="AU198" s="139"/>
      <c r="AV198" s="139"/>
      <c r="AX198" s="97"/>
      <c r="AY198" s="97"/>
      <c r="AZ198" s="97"/>
      <c r="BA198" s="97"/>
      <c r="BB198" s="97"/>
      <c r="BW198" s="96" t="str">
        <f>IFERROR(VLOOKUP($D198,'Pre-Assessment Estimator'!$E$11:$AB$224,'Pre-Assessment Estimator'!AB$2,FALSE),"")</f>
        <v/>
      </c>
      <c r="BX198" s="96" t="str">
        <f>IFERROR(VLOOKUP($D198,'Pre-Assessment Estimator'!$E$11:$AI$224,'Pre-Assessment Estimator'!AI$2,FALSE),"")</f>
        <v/>
      </c>
      <c r="BY198" s="96" t="str">
        <f t="shared" si="533"/>
        <v/>
      </c>
      <c r="BZ198" s="96" t="str">
        <f t="shared" si="533"/>
        <v/>
      </c>
      <c r="CB198" s="96" t="str">
        <f>IFERROR(VLOOKUP($BW198,$D$291:$G$324,H$289,FALSE),"")</f>
        <v/>
      </c>
    </row>
    <row r="199" spans="1:84" ht="60.75" thickBot="1" x14ac:dyDescent="0.3">
      <c r="A199" s="96">
        <v>191</v>
      </c>
      <c r="C199" s="151"/>
      <c r="D199" s="152" t="s">
        <v>73</v>
      </c>
      <c r="E199" s="870" t="str">
        <f>$E$9</f>
        <v>Office</v>
      </c>
      <c r="F199" s="870" t="str">
        <f>$F$9</f>
        <v>Retail</v>
      </c>
      <c r="G199" s="870" t="str">
        <f>$G$9</f>
        <v>Residential</v>
      </c>
      <c r="H199" s="870" t="str">
        <f>$H$9</f>
        <v>Industrial</v>
      </c>
      <c r="I199" s="870" t="str">
        <f>$I$9</f>
        <v>Healthcare</v>
      </c>
      <c r="J199" s="870" t="str">
        <f>$J$9</f>
        <v>Prison</v>
      </c>
      <c r="K199" s="870" t="str">
        <f>$K$9</f>
        <v>Law Court</v>
      </c>
      <c r="L199" s="870" t="str">
        <f>$L$9</f>
        <v>Residential institution (long term stay)</v>
      </c>
      <c r="M199" s="870" t="str">
        <f>$M$9</f>
        <v>Residential institution (short term stay)</v>
      </c>
      <c r="N199" s="870" t="str">
        <f>$N$9</f>
        <v>Non-residential institution</v>
      </c>
      <c r="O199" s="870" t="str">
        <f>$O$9</f>
        <v>Assembly and leisure</v>
      </c>
      <c r="P199" s="779" t="str">
        <f>$P$9</f>
        <v>Education</v>
      </c>
      <c r="Q199" s="871" t="str">
        <f>$Q$9</f>
        <v>Other</v>
      </c>
      <c r="S199" s="138" t="str">
        <f>$D$6</f>
        <v>Office</v>
      </c>
      <c r="T199" s="210"/>
      <c r="U199" s="211"/>
      <c r="V199" s="1120"/>
      <c r="W199" s="211"/>
      <c r="X199" s="1182" t="s">
        <v>414</v>
      </c>
      <c r="Y199" s="347" t="s">
        <v>337</v>
      </c>
      <c r="Z199" s="150" t="s">
        <v>216</v>
      </c>
      <c r="AA199" s="59" t="s">
        <v>16</v>
      </c>
      <c r="AH199" s="42"/>
      <c r="AI199" s="60"/>
      <c r="AJ199" s="60"/>
      <c r="AL199" s="139"/>
      <c r="AM199" s="139"/>
      <c r="AN199" s="139"/>
      <c r="AO199" s="139"/>
      <c r="AP199" s="139"/>
      <c r="AQ199" s="139"/>
      <c r="AR199" s="139"/>
      <c r="AS199" s="139"/>
      <c r="AT199" s="139"/>
      <c r="AU199" s="139"/>
      <c r="AV199" s="139"/>
      <c r="AX199" s="97"/>
      <c r="AY199" s="97"/>
      <c r="AZ199" s="97"/>
      <c r="BA199" s="97"/>
      <c r="BB199" s="97"/>
      <c r="BN199" s="60"/>
      <c r="BO199" s="60"/>
      <c r="BP199" s="60"/>
      <c r="BQ199" s="60"/>
      <c r="BR199" s="60"/>
      <c r="BS199" s="60"/>
      <c r="BV199" s="146"/>
      <c r="BW199" s="146" t="str">
        <f>D199</f>
        <v>Pollution</v>
      </c>
      <c r="BX199" s="146">
        <f>IFERROR(VLOOKUP($D199,'Pre-Assessment Estimator'!$E$11:$AI$224,'Pre-Assessment Estimator'!AI$2,FALSE),"")</f>
        <v>0</v>
      </c>
      <c r="BY199" s="146" t="str">
        <f t="shared" si="533"/>
        <v/>
      </c>
      <c r="BZ199" s="146" t="str">
        <f t="shared" si="533"/>
        <v/>
      </c>
      <c r="CA199" s="146"/>
      <c r="CB199" s="96" t="str">
        <f>IFERROR(VLOOKUP($BW199,$D$291:$G$324,H$289,FALSE),"")</f>
        <v/>
      </c>
    </row>
    <row r="200" spans="1:84" x14ac:dyDescent="0.25">
      <c r="A200" s="96">
        <v>192</v>
      </c>
      <c r="B200" s="137" t="str">
        <f>C200</f>
        <v>POL 01</v>
      </c>
      <c r="C200" s="872" t="s">
        <v>187</v>
      </c>
      <c r="D200" s="873" t="s">
        <v>166</v>
      </c>
      <c r="E200" s="965">
        <v>3</v>
      </c>
      <c r="F200" s="965">
        <v>3</v>
      </c>
      <c r="G200" s="965">
        <v>3</v>
      </c>
      <c r="H200" s="965">
        <v>3</v>
      </c>
      <c r="I200" s="965">
        <v>3</v>
      </c>
      <c r="J200" s="965">
        <v>3</v>
      </c>
      <c r="K200" s="965">
        <v>3</v>
      </c>
      <c r="L200" s="965">
        <v>3</v>
      </c>
      <c r="M200" s="965">
        <v>3</v>
      </c>
      <c r="N200" s="965">
        <v>3</v>
      </c>
      <c r="O200" s="965">
        <v>3</v>
      </c>
      <c r="P200" s="965">
        <v>3</v>
      </c>
      <c r="Q200" s="965">
        <v>3</v>
      </c>
      <c r="S200" s="975">
        <f t="shared" ref="S200:S206" si="534">HLOOKUP($D$6,$E$9:$Q$231,$A200,FALSE)</f>
        <v>3</v>
      </c>
      <c r="T200" s="222"/>
      <c r="U200" s="1113"/>
      <c r="V200" s="150" t="s">
        <v>392</v>
      </c>
      <c r="W200" s="1114">
        <f>'Manuell filtrering og justering'!E86</f>
        <v>0</v>
      </c>
      <c r="X200" s="1176"/>
      <c r="Y200" s="994">
        <f>SUM(AA201:AA203)</f>
        <v>3</v>
      </c>
      <c r="Z200" s="977">
        <f t="shared" ref="Z200:Z206" si="535">IF(SUM(T200:X200)&gt;S200,S200,SUM(T200:X200))</f>
        <v>0</v>
      </c>
      <c r="AA200" s="1081">
        <f>SUM(AA201:AA203)</f>
        <v>3</v>
      </c>
      <c r="AC200" s="171">
        <f t="shared" ref="AC200:AC213" si="536">(Pol_Weight/Pol_Credits)*AA200</f>
        <v>1.7142857142857144E-2</v>
      </c>
      <c r="AD200" s="935">
        <f>IF(SUM(AD201:AD203)&gt;$AC$200,$AC$200,SUM(AD201:AD203))</f>
        <v>0</v>
      </c>
      <c r="AE200" s="935">
        <f>IF(SUM(AE201:AE203)&gt;$AC$200,$AC$200,SUM(AE201:AE203))</f>
        <v>0</v>
      </c>
      <c r="AF200" s="935">
        <f>IF(SUM(AF201:AF203)&gt;$AC$200,$AC$200,SUM(AF201:AF203))</f>
        <v>0</v>
      </c>
      <c r="AH200" s="972">
        <f>IF(SUM(AH201:AH203)&gt;Pol01_credits,Pol01_credits,SUM(AH201:AH203))</f>
        <v>0</v>
      </c>
      <c r="AI200" s="972">
        <f>IF(SUM(AI201:AI203)&gt;Pol01_credits,Pol01_credits,SUM(AI201:AI203))</f>
        <v>0</v>
      </c>
      <c r="AJ200" s="972">
        <f>IF(SUM(AJ201:AJ203)&gt;Pol01_credits,Pol01_credits,SUM(AJ201:AJ203))</f>
        <v>0</v>
      </c>
      <c r="AK200" s="96" t="s">
        <v>428</v>
      </c>
      <c r="AL200" s="298"/>
      <c r="AM200" s="299"/>
      <c r="AN200" s="299"/>
      <c r="AO200" s="299"/>
      <c r="AP200" s="300"/>
      <c r="AQ200" s="139"/>
      <c r="AR200" s="298"/>
      <c r="AS200" s="299"/>
      <c r="AT200" s="299"/>
      <c r="AU200" s="299"/>
      <c r="AV200" s="300"/>
      <c r="AX200" s="218"/>
      <c r="AY200" s="219"/>
      <c r="AZ200" s="219"/>
      <c r="BA200" s="219"/>
      <c r="BB200" s="220">
        <f t="shared" ref="BB200:BB223" si="537">IF($D$6=$G$9,AV200,AP200)</f>
        <v>0</v>
      </c>
      <c r="BC200" s="174">
        <f t="shared" si="458"/>
        <v>9</v>
      </c>
      <c r="BD200" s="164" t="str">
        <f t="shared" ref="BD200:BD213" si="538">VLOOKUP(BC200,$BN$282:$BS$288,6,FALSE)</f>
        <v>N/A</v>
      </c>
      <c r="BE200" s="178"/>
      <c r="BF200" s="174">
        <f>IF(BB200=0,9,IF(AI200&gt;=BB200,5,IF(AI200&gt;=BA200,4,IF(AI200&gt;=AZ200,3,IF(AI200&gt;=AY200,2,IF(AI200&lt;AX200,0,1))))))</f>
        <v>9</v>
      </c>
      <c r="BG200" s="164" t="str">
        <f t="shared" ref="BG200:BG213" si="539">VLOOKUP(BF200,$BN$282:$BS$288,6,FALSE)</f>
        <v>N/A</v>
      </c>
      <c r="BH200" s="178"/>
      <c r="BI200" s="174">
        <f t="shared" si="441"/>
        <v>9</v>
      </c>
      <c r="BJ200" s="164" t="str">
        <f t="shared" ref="BJ200:BJ213" si="540">VLOOKUP(BI200,$BN$282:$BS$288,6,FALSE)</f>
        <v>N/A</v>
      </c>
      <c r="BK200" s="178"/>
      <c r="BN200" s="167"/>
      <c r="BO200" s="167"/>
      <c r="BP200" s="167" t="str">
        <f t="shared" si="340"/>
        <v/>
      </c>
      <c r="BQ200" s="167">
        <f t="shared" si="393"/>
        <v>9</v>
      </c>
      <c r="BR200" s="167">
        <f t="shared" si="394"/>
        <v>9</v>
      </c>
      <c r="BS200" s="167">
        <f t="shared" si="395"/>
        <v>9</v>
      </c>
      <c r="BV200" s="164" t="str">
        <f>C200</f>
        <v>POL 01</v>
      </c>
      <c r="BW200" s="164" t="str">
        <f>IFERROR(VLOOKUP($D200,'Pre-Assessment Estimator'!$E$11:$AB$224,'Pre-Assessment Estimator'!AB$2,FALSE),"")</f>
        <v>No</v>
      </c>
      <c r="BX200" s="682" t="str">
        <f>IFERROR(VLOOKUP($D200,'Pre-Assessment Estimator'!$E$11:$AI$224,'Pre-Assessment Estimator'!AI$2,FALSE),"")</f>
        <v>Ja</v>
      </c>
      <c r="BY200" s="164">
        <f>IFERROR(VLOOKUP($BW200,$D$291:$G$324,E$289,FALSE),"")</f>
        <v>1</v>
      </c>
      <c r="BZ200" s="688" t="s">
        <v>433</v>
      </c>
      <c r="CA200" s="164"/>
      <c r="CB200" s="96" t="str">
        <f>IFERROR(VLOOKUP($BW200,$D$291:$G$324,H$289,FALSE),"")</f>
        <v/>
      </c>
      <c r="CC200" s="96" t="s">
        <v>439</v>
      </c>
      <c r="CD200" s="167">
        <f>VLOOKUP(BZ200,$BZ$4:$CA$5,2,FALSE)</f>
        <v>1</v>
      </c>
      <c r="CF200" s="689">
        <f>IF($BW$5=ais_no,CD200,IF(AND(BZ200=$BZ$4,BW200=$CB$4),0,BY200))</f>
        <v>1</v>
      </c>
    </row>
    <row r="201" spans="1:84" x14ac:dyDescent="0.25">
      <c r="A201" s="96">
        <v>193</v>
      </c>
      <c r="B201" s="96" t="str">
        <f t="shared" ref="B201:B203" si="541">$C$200&amp;C201</f>
        <v>POL 01a</v>
      </c>
      <c r="C201" s="166" t="s">
        <v>696</v>
      </c>
      <c r="D201" s="931" t="s">
        <v>903</v>
      </c>
      <c r="E201" s="788">
        <v>3</v>
      </c>
      <c r="F201" s="788">
        <v>3</v>
      </c>
      <c r="G201" s="788">
        <v>3</v>
      </c>
      <c r="H201" s="788">
        <v>3</v>
      </c>
      <c r="I201" s="788">
        <v>3</v>
      </c>
      <c r="J201" s="788">
        <v>3</v>
      </c>
      <c r="K201" s="788">
        <v>3</v>
      </c>
      <c r="L201" s="788">
        <v>3</v>
      </c>
      <c r="M201" s="788">
        <v>3</v>
      </c>
      <c r="N201" s="788">
        <v>3</v>
      </c>
      <c r="O201" s="788">
        <v>3</v>
      </c>
      <c r="P201" s="788">
        <v>3</v>
      </c>
      <c r="Q201" s="788">
        <v>3</v>
      </c>
      <c r="S201" s="221">
        <f t="shared" si="534"/>
        <v>3</v>
      </c>
      <c r="T201" s="222">
        <f>IF('Assessment Details'!F24=AD_Yes,Poeng!S201,0)</f>
        <v>0</v>
      </c>
      <c r="U201" s="190"/>
      <c r="V201" s="977">
        <f>IF('Assessment Details'!F24=AD_Yes,Poeng!Y201,0)</f>
        <v>0</v>
      </c>
      <c r="W201" s="239"/>
      <c r="X201" s="169">
        <f>IF($X$4=$X$6,S201,0)</f>
        <v>0</v>
      </c>
      <c r="Y201" s="168">
        <f>VLOOKUP(B201,'Manuell filtrering og justering'!$A$7:$H$253,'Manuell filtrering og justering'!$H$1,FALSE)</f>
        <v>3</v>
      </c>
      <c r="Z201" s="169">
        <f t="shared" si="535"/>
        <v>0</v>
      </c>
      <c r="AA201" s="1051">
        <f>IF($AB$5='Manuell filtrering og justering'!$J$2,Y201-V201,(S201-Z201))</f>
        <v>3</v>
      </c>
      <c r="AC201" s="171">
        <f t="shared" si="536"/>
        <v>1.7142857142857144E-2</v>
      </c>
      <c r="AD201" s="171">
        <f t="shared" ref="AD201:AD213" si="542">IF(AA201=0,0,(AC201/AA201)*AH201)</f>
        <v>0</v>
      </c>
      <c r="AE201" s="171">
        <f t="shared" ref="AE201:AE213" si="543">IF(AA201=0,0,(AC201/AA201)*AI201)</f>
        <v>0</v>
      </c>
      <c r="AF201" s="171">
        <f t="shared" ref="AF201:AF213" si="544">IF(AA201=0,0,(AC201/AA201)*AJ201)</f>
        <v>0</v>
      </c>
      <c r="AH201" s="172">
        <f>IF(VLOOKUP(D201,'Pre-Assessment Estimator'!$E$11:$Z$224,'Pre-Assessment Estimator'!$G$2,FALSE)&gt;AA201,AA201,VLOOKUP(D201,'Pre-Assessment Estimator'!$E$11:$Z$224,'Pre-Assessment Estimator'!$G$2,FALSE))</f>
        <v>0</v>
      </c>
      <c r="AI201" s="172">
        <f>IF(VLOOKUP(D201,'Pre-Assessment Estimator'!$E$11:$Z$224,'Pre-Assessment Estimator'!$N$2,FALSE)&gt;AA201,AA201,VLOOKUP(D201,'Pre-Assessment Estimator'!$E$11:$Z$224,'Pre-Assessment Estimator'!$N$2,FALSE))</f>
        <v>0</v>
      </c>
      <c r="AJ201" s="172">
        <f>IF(VLOOKUP(D201,'Pre-Assessment Estimator'!$E$11:$Z$224,'Pre-Assessment Estimator'!$U$2,FALSE)&gt;AA201,AA201,VLOOKUP(D201,'Pre-Assessment Estimator'!$E$11:$Z$224,'Pre-Assessment Estimator'!$U$2,FALSE))</f>
        <v>0</v>
      </c>
      <c r="AL201" s="848"/>
      <c r="AM201" s="849"/>
      <c r="AN201" s="849"/>
      <c r="AO201" s="849"/>
      <c r="AP201" s="850"/>
      <c r="AQ201" s="139"/>
      <c r="AR201" s="848"/>
      <c r="AS201" s="849"/>
      <c r="AT201" s="849"/>
      <c r="AU201" s="849"/>
      <c r="AV201" s="850"/>
      <c r="AX201" s="719"/>
      <c r="AY201" s="720"/>
      <c r="AZ201" s="720"/>
      <c r="BA201" s="720"/>
      <c r="BB201" s="851"/>
      <c r="BC201" s="182">
        <f t="shared" ref="BC201:BC203" si="545">IF(BB201=0,9,IF(AH201&gt;=BB201,5,IF(AH201&gt;=BA201,4,IF(AH201&gt;=AZ201,3,IF(AH201&gt;=AY201,2,IF(AH201&lt;AX201,0,1))))))</f>
        <v>9</v>
      </c>
      <c r="BD201" s="164" t="str">
        <f t="shared" si="538"/>
        <v>N/A</v>
      </c>
      <c r="BE201" s="185"/>
      <c r="BF201" s="182">
        <f t="shared" ref="BF201:BF203" si="546">IF(BB201=0,9,IF(AI201&gt;=BB201,5,IF(AI201&gt;=BA201,4,IF(AI201&gt;=AZ201,3,IF(AI201&gt;=AY201,2,IF(AI201&lt;AX201,0,1))))))</f>
        <v>9</v>
      </c>
      <c r="BG201" s="164" t="str">
        <f t="shared" si="539"/>
        <v>N/A</v>
      </c>
      <c r="BH201" s="185"/>
      <c r="BI201" s="182">
        <f t="shared" ref="BI201:BI203" si="547">IF(BB201=0,9,IF(AJ201&gt;=BB201,5,IF(AJ201&gt;=BA201,4,IF(AJ201&gt;=AZ201,3,IF(AJ201&gt;=AY201,2,IF(AJ201&lt;AX201,0,1))))))</f>
        <v>9</v>
      </c>
      <c r="BJ201" s="164" t="str">
        <f t="shared" si="540"/>
        <v>N/A</v>
      </c>
      <c r="BK201" s="843"/>
      <c r="BN201" s="167"/>
      <c r="BO201" s="167"/>
      <c r="BP201" s="167" t="str">
        <f t="shared" si="340"/>
        <v/>
      </c>
      <c r="BQ201" s="167">
        <f t="shared" si="393"/>
        <v>9</v>
      </c>
      <c r="BR201" s="167">
        <f t="shared" si="394"/>
        <v>9</v>
      </c>
      <c r="BS201" s="167">
        <f t="shared" si="395"/>
        <v>9</v>
      </c>
      <c r="BV201" s="164"/>
      <c r="BW201" s="164"/>
      <c r="BX201" s="682"/>
      <c r="BY201" s="164"/>
      <c r="BZ201" s="688"/>
      <c r="CA201" s="164"/>
      <c r="CD201" s="167"/>
      <c r="CF201" s="689"/>
    </row>
    <row r="202" spans="1:84" x14ac:dyDescent="0.25">
      <c r="A202" s="96">
        <v>194</v>
      </c>
      <c r="B202" s="96" t="str">
        <f t="shared" si="541"/>
        <v>POL 01c</v>
      </c>
      <c r="C202" s="166" t="s">
        <v>700</v>
      </c>
      <c r="D202" s="931" t="s">
        <v>384</v>
      </c>
      <c r="E202" s="788">
        <v>2</v>
      </c>
      <c r="F202" s="788">
        <v>2</v>
      </c>
      <c r="G202" s="788">
        <v>2</v>
      </c>
      <c r="H202" s="788">
        <v>2</v>
      </c>
      <c r="I202" s="788">
        <v>2</v>
      </c>
      <c r="J202" s="788">
        <v>2</v>
      </c>
      <c r="K202" s="788">
        <v>2</v>
      </c>
      <c r="L202" s="788">
        <v>2</v>
      </c>
      <c r="M202" s="788">
        <v>2</v>
      </c>
      <c r="N202" s="788">
        <v>2</v>
      </c>
      <c r="O202" s="788">
        <v>2</v>
      </c>
      <c r="P202" s="788">
        <v>2</v>
      </c>
      <c r="Q202" s="788">
        <v>2</v>
      </c>
      <c r="S202" s="221">
        <f t="shared" si="534"/>
        <v>2</v>
      </c>
      <c r="T202" s="222">
        <f>IF(T201&gt;0,0,S202)</f>
        <v>2</v>
      </c>
      <c r="U202" s="190"/>
      <c r="V202" s="977">
        <f>IF(V201&gt;0,0,Y202)</f>
        <v>2</v>
      </c>
      <c r="W202" s="239"/>
      <c r="X202" s="169">
        <f>IF($X$4=$X$6,S202,0)</f>
        <v>0</v>
      </c>
      <c r="Y202" s="168">
        <f>VLOOKUP(B202,'Manuell filtrering og justering'!$A$7:$H$253,'Manuell filtrering og justering'!$H$1,FALSE)</f>
        <v>2</v>
      </c>
      <c r="Z202" s="169">
        <f t="shared" si="535"/>
        <v>2</v>
      </c>
      <c r="AA202" s="1051">
        <f>IF($AB$5='Manuell filtrering og justering'!$J$2,Y202-V202,(S202-Z202))</f>
        <v>0</v>
      </c>
      <c r="AC202" s="171">
        <f t="shared" si="536"/>
        <v>0</v>
      </c>
      <c r="AD202" s="171">
        <f t="shared" si="542"/>
        <v>0</v>
      </c>
      <c r="AE202" s="171">
        <f t="shared" si="543"/>
        <v>0</v>
      </c>
      <c r="AF202" s="171">
        <f t="shared" si="544"/>
        <v>0</v>
      </c>
      <c r="AH202" s="1082">
        <f>IF(AH248=AD_no,0,IF(VLOOKUP(D202,'Pre-Assessment Estimator'!$E$11:$Z$224,'Pre-Assessment Estimator'!$G$2,FALSE)&gt;AA202,AA202,VLOOKUP(D202,'Pre-Assessment Estimator'!$E$11:$Z$224,'Pre-Assessment Estimator'!$G$2,FALSE)))</f>
        <v>0</v>
      </c>
      <c r="AI202" s="1082">
        <f>IF(AI248=AD_no,0,IF(VLOOKUP(D202,'Pre-Assessment Estimator'!$E$11:$Z$224,'Pre-Assessment Estimator'!$N$2,FALSE)&gt;AA202,AA202,VLOOKUP(D202,'Pre-Assessment Estimator'!$E$11:$Z$224,'Pre-Assessment Estimator'!$N$2,FALSE)))</f>
        <v>0</v>
      </c>
      <c r="AJ202" s="1082">
        <f>IF(AJ248=AD_no,0,IF(VLOOKUP(D202,'Pre-Assessment Estimator'!$E$11:$Z$224,'Pre-Assessment Estimator'!$U$2,FALSE)&gt;AA202,AA202,VLOOKUP(D202,'Pre-Assessment Estimator'!$E$11:$Z$224,'Pre-Assessment Estimator'!$U$2,FALSE)))</f>
        <v>0</v>
      </c>
      <c r="AL202" s="848"/>
      <c r="AM202" s="849"/>
      <c r="AN202" s="849"/>
      <c r="AO202" s="849"/>
      <c r="AP202" s="850"/>
      <c r="AQ202" s="139"/>
      <c r="AR202" s="848"/>
      <c r="AS202" s="849"/>
      <c r="AT202" s="849"/>
      <c r="AU202" s="849"/>
      <c r="AV202" s="850"/>
      <c r="AX202" s="719"/>
      <c r="AY202" s="720"/>
      <c r="AZ202" s="720"/>
      <c r="BA202" s="720"/>
      <c r="BB202" s="851"/>
      <c r="BC202" s="182">
        <f t="shared" si="545"/>
        <v>9</v>
      </c>
      <c r="BD202" s="164" t="str">
        <f t="shared" si="538"/>
        <v>N/A</v>
      </c>
      <c r="BE202" s="185"/>
      <c r="BF202" s="182">
        <f t="shared" si="546"/>
        <v>9</v>
      </c>
      <c r="BG202" s="164" t="str">
        <f t="shared" si="539"/>
        <v>N/A</v>
      </c>
      <c r="BH202" s="185"/>
      <c r="BI202" s="182">
        <f t="shared" si="547"/>
        <v>9</v>
      </c>
      <c r="BJ202" s="164" t="str">
        <f t="shared" si="540"/>
        <v>N/A</v>
      </c>
      <c r="BK202" s="843"/>
      <c r="BN202" s="167"/>
      <c r="BO202" s="167"/>
      <c r="BP202" s="167" t="str">
        <f t="shared" si="340"/>
        <v/>
      </c>
      <c r="BQ202" s="167">
        <f t="shared" si="393"/>
        <v>9</v>
      </c>
      <c r="BR202" s="167">
        <f t="shared" si="394"/>
        <v>9</v>
      </c>
      <c r="BS202" s="167">
        <f t="shared" si="395"/>
        <v>9</v>
      </c>
      <c r="BV202" s="164"/>
      <c r="BW202" s="164"/>
      <c r="BX202" s="682"/>
      <c r="BY202" s="164"/>
      <c r="BZ202" s="688"/>
      <c r="CA202" s="164"/>
      <c r="CD202" s="167"/>
      <c r="CF202" s="689"/>
    </row>
    <row r="203" spans="1:84" x14ac:dyDescent="0.25">
      <c r="A203" s="96">
        <v>195</v>
      </c>
      <c r="B203" s="96" t="str">
        <f t="shared" si="541"/>
        <v>POL 01d</v>
      </c>
      <c r="C203" s="166" t="s">
        <v>698</v>
      </c>
      <c r="D203" s="931" t="s">
        <v>904</v>
      </c>
      <c r="E203" s="788">
        <v>1</v>
      </c>
      <c r="F203" s="788">
        <v>1</v>
      </c>
      <c r="G203" s="788">
        <v>1</v>
      </c>
      <c r="H203" s="788">
        <v>1</v>
      </c>
      <c r="I203" s="788">
        <v>1</v>
      </c>
      <c r="J203" s="788">
        <v>1</v>
      </c>
      <c r="K203" s="788">
        <v>1</v>
      </c>
      <c r="L203" s="788">
        <v>1</v>
      </c>
      <c r="M203" s="788">
        <v>1</v>
      </c>
      <c r="N203" s="788">
        <v>1</v>
      </c>
      <c r="O203" s="788">
        <v>1</v>
      </c>
      <c r="P203" s="788">
        <v>1</v>
      </c>
      <c r="Q203" s="788">
        <v>1</v>
      </c>
      <c r="S203" s="221">
        <f t="shared" si="534"/>
        <v>1</v>
      </c>
      <c r="T203" s="222">
        <f>IF(T201&gt;0,0,S203)</f>
        <v>1</v>
      </c>
      <c r="U203" s="190"/>
      <c r="V203" s="977">
        <f>IF(V201&gt;0,0,Y203)</f>
        <v>1</v>
      </c>
      <c r="W203" s="239"/>
      <c r="X203" s="169">
        <f>IF($X$4=$X$6,S203,0)</f>
        <v>0</v>
      </c>
      <c r="Y203" s="168">
        <f>VLOOKUP(B203,'Manuell filtrering og justering'!$A$7:$H$253,'Manuell filtrering og justering'!$H$1,FALSE)</f>
        <v>1</v>
      </c>
      <c r="Z203" s="169">
        <f t="shared" si="535"/>
        <v>1</v>
      </c>
      <c r="AA203" s="1051">
        <f>IF($AB$5='Manuell filtrering og justering'!$J$2,Y203-V203,(S203-Z203))</f>
        <v>0</v>
      </c>
      <c r="AC203" s="171">
        <f t="shared" si="536"/>
        <v>0</v>
      </c>
      <c r="AD203" s="171">
        <f t="shared" si="542"/>
        <v>0</v>
      </c>
      <c r="AE203" s="171">
        <f t="shared" si="543"/>
        <v>0</v>
      </c>
      <c r="AF203" s="171">
        <f t="shared" si="544"/>
        <v>0</v>
      </c>
      <c r="AH203" s="1082">
        <f>IF(AH248=AD_no,0,IF(VLOOKUP(D203,'Pre-Assessment Estimator'!$E$11:$Z$224,'Pre-Assessment Estimator'!$G$2,FALSE)&gt;AA203,AA203,VLOOKUP(D203,'Pre-Assessment Estimator'!$E$11:$Z$224,'Pre-Assessment Estimator'!$G$2,FALSE)))</f>
        <v>0</v>
      </c>
      <c r="AI203" s="1082">
        <f>IF(AI248=AD_no,0,IF(VLOOKUP(D203,'Pre-Assessment Estimator'!$E$11:$Z$224,'Pre-Assessment Estimator'!$N$2,FALSE)&gt;AA203,AA203,VLOOKUP(D203,'Pre-Assessment Estimator'!$E$11:$Z$224,'Pre-Assessment Estimator'!$N$2,FALSE)))</f>
        <v>0</v>
      </c>
      <c r="AJ203" s="1082">
        <f>IF(AJ248=AD_no,0,IF(VLOOKUP(D203,'Pre-Assessment Estimator'!$E$11:$Z$224,'Pre-Assessment Estimator'!$U$2,FALSE)&gt;AA203,AA203,VLOOKUP(D203,'Pre-Assessment Estimator'!$E$11:$Z$224,'Pre-Assessment Estimator'!$U$2,FALSE)))</f>
        <v>0</v>
      </c>
      <c r="AL203" s="848"/>
      <c r="AM203" s="849"/>
      <c r="AN203" s="849"/>
      <c r="AO203" s="849"/>
      <c r="AP203" s="850"/>
      <c r="AQ203" s="139"/>
      <c r="AR203" s="848"/>
      <c r="AS203" s="849"/>
      <c r="AT203" s="849"/>
      <c r="AU203" s="849"/>
      <c r="AV203" s="850"/>
      <c r="AX203" s="719"/>
      <c r="AY203" s="720"/>
      <c r="AZ203" s="720"/>
      <c r="BA203" s="720"/>
      <c r="BB203" s="851"/>
      <c r="BC203" s="182">
        <f t="shared" si="545"/>
        <v>9</v>
      </c>
      <c r="BD203" s="164" t="str">
        <f t="shared" si="538"/>
        <v>N/A</v>
      </c>
      <c r="BE203" s="185"/>
      <c r="BF203" s="182">
        <f t="shared" si="546"/>
        <v>9</v>
      </c>
      <c r="BG203" s="164" t="str">
        <f t="shared" si="539"/>
        <v>N/A</v>
      </c>
      <c r="BH203" s="185"/>
      <c r="BI203" s="182">
        <f t="shared" si="547"/>
        <v>9</v>
      </c>
      <c r="BJ203" s="164" t="str">
        <f t="shared" si="540"/>
        <v>N/A</v>
      </c>
      <c r="BK203" s="843"/>
      <c r="BN203" s="167"/>
      <c r="BO203" s="167"/>
      <c r="BP203" s="167" t="str">
        <f t="shared" ref="BP203:BP250" si="548">IF(BN203&lt;&gt;"",BN203,IF(BO203&lt;&gt;"",BO203,""))</f>
        <v/>
      </c>
      <c r="BQ203" s="167">
        <f t="shared" si="393"/>
        <v>9</v>
      </c>
      <c r="BR203" s="167">
        <f t="shared" si="394"/>
        <v>9</v>
      </c>
      <c r="BS203" s="167">
        <f t="shared" si="395"/>
        <v>9</v>
      </c>
      <c r="BV203" s="164"/>
      <c r="BW203" s="164"/>
      <c r="BX203" s="682"/>
      <c r="BY203" s="164"/>
      <c r="BZ203" s="688"/>
      <c r="CA203" s="164"/>
      <c r="CD203" s="167"/>
      <c r="CF203" s="689"/>
    </row>
    <row r="204" spans="1:84" x14ac:dyDescent="0.25">
      <c r="A204" s="96">
        <v>196</v>
      </c>
      <c r="B204" s="137" t="str">
        <f>C204</f>
        <v>POL 02</v>
      </c>
      <c r="C204" s="847" t="s">
        <v>188</v>
      </c>
      <c r="D204" s="845" t="s">
        <v>475</v>
      </c>
      <c r="E204" s="965">
        <v>2</v>
      </c>
      <c r="F204" s="965">
        <v>2</v>
      </c>
      <c r="G204" s="965">
        <v>2</v>
      </c>
      <c r="H204" s="965">
        <v>2</v>
      </c>
      <c r="I204" s="965">
        <v>2</v>
      </c>
      <c r="J204" s="965">
        <v>2</v>
      </c>
      <c r="K204" s="965">
        <v>2</v>
      </c>
      <c r="L204" s="965">
        <v>2</v>
      </c>
      <c r="M204" s="965">
        <v>2</v>
      </c>
      <c r="N204" s="965">
        <v>2</v>
      </c>
      <c r="O204" s="965">
        <v>2</v>
      </c>
      <c r="P204" s="965">
        <v>2</v>
      </c>
      <c r="Q204" s="965">
        <v>2</v>
      </c>
      <c r="S204" s="977">
        <f t="shared" si="534"/>
        <v>2</v>
      </c>
      <c r="T204" s="222"/>
      <c r="U204" s="1113"/>
      <c r="V204" s="977"/>
      <c r="W204" s="1114">
        <f>'Manuell filtrering og justering'!E87</f>
        <v>0</v>
      </c>
      <c r="X204" s="1176"/>
      <c r="Y204" s="994">
        <f>SUM(AA205:AA206)</f>
        <v>2</v>
      </c>
      <c r="Z204" s="977">
        <f t="shared" si="535"/>
        <v>0</v>
      </c>
      <c r="AA204" s="1081">
        <f>SUM(AA205:AA206)</f>
        <v>2</v>
      </c>
      <c r="AC204" s="171">
        <f t="shared" si="536"/>
        <v>1.1428571428571429E-2</v>
      </c>
      <c r="AD204" s="935">
        <f>IF(SUM(AD205:AD206)&gt;$AC$204,$AC$204,SUM(AD205:AD206))</f>
        <v>0</v>
      </c>
      <c r="AE204" s="935">
        <f>IF(SUM(AE205:AE206)&gt;$AC$204,$AC$204,SUM(AE205:AE206))</f>
        <v>0</v>
      </c>
      <c r="AF204" s="935">
        <f>IF(SUM(AF205:AF206)&gt;$AC$204,$AC$204,SUM(AF205:AF206))</f>
        <v>0</v>
      </c>
      <c r="AH204" s="972">
        <f>IF(SUM(AH205:AH206)&gt;Pol02_credits,Pol02_credits,SUM(AH205:AH206))</f>
        <v>0</v>
      </c>
      <c r="AI204" s="972">
        <f>IF(SUM(AI205:AI206)&gt;Pol02_credits,Pol02_credits,SUM(AI205:AI206))</f>
        <v>0</v>
      </c>
      <c r="AJ204" s="972">
        <f>IF(SUM(AJ205:AJ206)&gt;Pol02_credits,Pol02_credits,SUM(AJ205:AJ206))</f>
        <v>0</v>
      </c>
      <c r="AK204" s="96" t="s">
        <v>428</v>
      </c>
      <c r="AL204" s="292"/>
      <c r="AM204" s="293"/>
      <c r="AN204" s="293"/>
      <c r="AO204" s="293"/>
      <c r="AP204" s="294"/>
      <c r="AQ204" s="139"/>
      <c r="AR204" s="292"/>
      <c r="AS204" s="293"/>
      <c r="AT204" s="293"/>
      <c r="AU204" s="293"/>
      <c r="AV204" s="294"/>
      <c r="AX204" s="188"/>
      <c r="AY204" s="189"/>
      <c r="AZ204" s="189"/>
      <c r="BA204" s="189"/>
      <c r="BB204" s="190">
        <f t="shared" si="537"/>
        <v>0</v>
      </c>
      <c r="BC204" s="182">
        <f t="shared" si="458"/>
        <v>9</v>
      </c>
      <c r="BD204" s="164" t="str">
        <f t="shared" si="538"/>
        <v>N/A</v>
      </c>
      <c r="BE204" s="185"/>
      <c r="BF204" s="182">
        <f>IF(BB204=0,9,IF(AI204&gt;=BB204,5,IF(AI204&gt;=BA204,4,IF(AI204&gt;=AZ204,3,IF(AI204&gt;=AY204,2,IF(AI204&lt;AX204,0,1))))))</f>
        <v>9</v>
      </c>
      <c r="BG204" s="164" t="str">
        <f t="shared" si="539"/>
        <v>N/A</v>
      </c>
      <c r="BH204" s="185"/>
      <c r="BI204" s="182">
        <f t="shared" si="441"/>
        <v>9</v>
      </c>
      <c r="BJ204" s="164" t="str">
        <f t="shared" si="540"/>
        <v>N/A</v>
      </c>
      <c r="BK204" s="185"/>
      <c r="BN204" s="167"/>
      <c r="BO204" s="167"/>
      <c r="BP204" s="167" t="str">
        <f t="shared" si="548"/>
        <v/>
      </c>
      <c r="BQ204" s="167">
        <f t="shared" si="393"/>
        <v>9</v>
      </c>
      <c r="BR204" s="167">
        <f t="shared" si="394"/>
        <v>9</v>
      </c>
      <c r="BS204" s="167">
        <f t="shared" si="395"/>
        <v>9</v>
      </c>
      <c r="BV204" s="167" t="str">
        <f>C204</f>
        <v>POL 02</v>
      </c>
      <c r="BW204" s="167" t="str">
        <f>IFERROR(VLOOKUP($D204,'Pre-Assessment Estimator'!$E$11:$AB$224,'Pre-Assessment Estimator'!AB$2,FALSE),"")</f>
        <v>No</v>
      </c>
      <c r="BX204" s="230" t="str">
        <f>IFERROR(VLOOKUP($D204,'Pre-Assessment Estimator'!$E$11:$AI$224,'Pre-Assessment Estimator'!AI$2,FALSE),"")</f>
        <v>Ja</v>
      </c>
      <c r="BY204" s="167">
        <f>IFERROR(VLOOKUP($BW204,$D$291:$G$324,E$289,FALSE),"")</f>
        <v>1</v>
      </c>
      <c r="BZ204" s="688" t="s">
        <v>433</v>
      </c>
      <c r="CA204" s="167"/>
      <c r="CB204" s="96" t="str">
        <f>IFERROR(VLOOKUP($BW204,$D$291:$G$324,H$289,FALSE),"")</f>
        <v/>
      </c>
      <c r="CC204" s="96" t="s">
        <v>439</v>
      </c>
      <c r="CD204" s="167">
        <f>VLOOKUP(BZ204,$BZ$4:$CA$5,2,FALSE)</f>
        <v>1</v>
      </c>
      <c r="CF204" s="689">
        <f>IF($BW$5=ais_no,CD204,IF(AND(BZ204=$BZ$4,BW204=$CB$4),0,BY204))</f>
        <v>1</v>
      </c>
    </row>
    <row r="205" spans="1:84" x14ac:dyDescent="0.25">
      <c r="A205" s="96">
        <v>197</v>
      </c>
      <c r="B205" s="96" t="str">
        <f t="shared" ref="B205:B206" si="549">$C$204&amp;C205</f>
        <v>POL 02a</v>
      </c>
      <c r="C205" s="166" t="s">
        <v>696</v>
      </c>
      <c r="D205" s="931" t="s">
        <v>967</v>
      </c>
      <c r="E205" s="788">
        <v>2</v>
      </c>
      <c r="F205" s="788">
        <v>2</v>
      </c>
      <c r="G205" s="788">
        <v>2</v>
      </c>
      <c r="H205" s="788">
        <v>2</v>
      </c>
      <c r="I205" s="788">
        <v>2</v>
      </c>
      <c r="J205" s="788">
        <v>2</v>
      </c>
      <c r="K205" s="788">
        <v>2</v>
      </c>
      <c r="L205" s="788">
        <v>2</v>
      </c>
      <c r="M205" s="788">
        <v>2</v>
      </c>
      <c r="N205" s="788">
        <v>2</v>
      </c>
      <c r="O205" s="788">
        <v>2</v>
      </c>
      <c r="P205" s="788">
        <v>2</v>
      </c>
      <c r="Q205" s="788">
        <v>2</v>
      </c>
      <c r="S205" s="221">
        <f t="shared" si="534"/>
        <v>2</v>
      </c>
      <c r="T205" s="1245">
        <f>IF('Assessment Details'!F25='Assessment Details'!J30,0,IF('Assessment Details'!F25="",0,Poeng!S205))</f>
        <v>0</v>
      </c>
      <c r="U205" s="190"/>
      <c r="V205" s="1050">
        <f>IF('Assessment Details'!F25='Assessment Details'!J30,0,IF('Assessment Details'!F25="",0,Poeng!Y205))</f>
        <v>0</v>
      </c>
      <c r="W205" s="239"/>
      <c r="X205" s="169">
        <f>IF($X$4=$X$6,S205,0)</f>
        <v>0</v>
      </c>
      <c r="Y205" s="168">
        <f>VLOOKUP(B205,'Manuell filtrering og justering'!$A$7:$H$253,'Manuell filtrering og justering'!$H$1,FALSE)</f>
        <v>2</v>
      </c>
      <c r="Z205" s="169">
        <f t="shared" si="535"/>
        <v>0</v>
      </c>
      <c r="AA205" s="1051">
        <f>IF($AB$5='Manuell filtrering og justering'!$J$2,Y205-V205,(S205-Z205))</f>
        <v>2</v>
      </c>
      <c r="AC205" s="171">
        <f t="shared" si="536"/>
        <v>1.1428571428571429E-2</v>
      </c>
      <c r="AD205" s="171">
        <f t="shared" si="542"/>
        <v>0</v>
      </c>
      <c r="AE205" s="171">
        <f t="shared" si="543"/>
        <v>0</v>
      </c>
      <c r="AF205" s="171">
        <f t="shared" si="544"/>
        <v>0</v>
      </c>
      <c r="AH205" s="172">
        <f>IF(VLOOKUP(D205,'Pre-Assessment Estimator'!$E$11:$Z$224,'Pre-Assessment Estimator'!$G$2,FALSE)&gt;AA205,AA205,VLOOKUP(D205,'Pre-Assessment Estimator'!$E$11:$Z$224,'Pre-Assessment Estimator'!$G$2,FALSE))</f>
        <v>0</v>
      </c>
      <c r="AI205" s="172">
        <f>IF(VLOOKUP(D205,'Pre-Assessment Estimator'!$E$11:$Z$224,'Pre-Assessment Estimator'!$N$2,FALSE)&gt;AA205,AA205,VLOOKUP(D205,'Pre-Assessment Estimator'!$E$11:$Z$224,'Pre-Assessment Estimator'!$N$2,FALSE))</f>
        <v>0</v>
      </c>
      <c r="AJ205" s="172">
        <f>IF(VLOOKUP(D205,'Pre-Assessment Estimator'!$E$11:$Z$224,'Pre-Assessment Estimator'!$U$2,FALSE)&gt;AA205,AA205,VLOOKUP(D205,'Pre-Assessment Estimator'!$E$11:$Z$224,'Pre-Assessment Estimator'!$U$2,FALSE))</f>
        <v>0</v>
      </c>
      <c r="AL205" s="292"/>
      <c r="AM205" s="293"/>
      <c r="AN205" s="293"/>
      <c r="AO205" s="293"/>
      <c r="AP205" s="294"/>
      <c r="AQ205" s="139"/>
      <c r="AR205" s="292"/>
      <c r="AS205" s="293"/>
      <c r="AT205" s="293"/>
      <c r="AU205" s="293"/>
      <c r="AV205" s="294"/>
      <c r="AX205" s="188"/>
      <c r="AY205" s="189"/>
      <c r="AZ205" s="189"/>
      <c r="BA205" s="189"/>
      <c r="BB205" s="190"/>
      <c r="BC205" s="182">
        <f t="shared" si="458"/>
        <v>9</v>
      </c>
      <c r="BD205" s="164" t="str">
        <f t="shared" si="538"/>
        <v>N/A</v>
      </c>
      <c r="BE205" s="185"/>
      <c r="BF205" s="182">
        <f t="shared" ref="BF205:BF210" si="550">IF(BB205=0,9,IF(AI205&gt;=BB205,5,IF(AI205&gt;=BA205,4,IF(AI205&gt;=AZ205,3,IF(AI205&gt;=AY205,2,IF(AI205&lt;AX205,0,1))))))</f>
        <v>9</v>
      </c>
      <c r="BG205" s="164" t="str">
        <f t="shared" si="539"/>
        <v>N/A</v>
      </c>
      <c r="BH205" s="185"/>
      <c r="BI205" s="182">
        <f t="shared" si="441"/>
        <v>9</v>
      </c>
      <c r="BJ205" s="164" t="str">
        <f t="shared" si="540"/>
        <v>N/A</v>
      </c>
      <c r="BK205" s="185"/>
      <c r="BN205" s="167"/>
      <c r="BO205" s="167"/>
      <c r="BP205" s="167" t="str">
        <f t="shared" si="548"/>
        <v/>
      </c>
      <c r="BQ205" s="167">
        <f t="shared" si="393"/>
        <v>9</v>
      </c>
      <c r="BR205" s="167">
        <f t="shared" si="394"/>
        <v>9</v>
      </c>
      <c r="BS205" s="167">
        <f t="shared" si="395"/>
        <v>9</v>
      </c>
      <c r="BV205" s="167"/>
      <c r="BW205" s="167"/>
      <c r="BX205" s="230"/>
      <c r="BY205" s="167"/>
      <c r="BZ205" s="688"/>
      <c r="CA205" s="167"/>
      <c r="CD205" s="99"/>
      <c r="CF205" s="689"/>
    </row>
    <row r="206" spans="1:84" x14ac:dyDescent="0.25">
      <c r="A206" s="96">
        <v>198</v>
      </c>
      <c r="B206" s="96" t="str">
        <f t="shared" si="549"/>
        <v>POL 02b</v>
      </c>
      <c r="C206" s="166" t="s">
        <v>699</v>
      </c>
      <c r="D206" s="931" t="s">
        <v>968</v>
      </c>
      <c r="E206" s="788">
        <v>2</v>
      </c>
      <c r="F206" s="788">
        <v>2</v>
      </c>
      <c r="G206" s="788">
        <v>2</v>
      </c>
      <c r="H206" s="788">
        <v>2</v>
      </c>
      <c r="I206" s="788">
        <v>2</v>
      </c>
      <c r="J206" s="788">
        <v>2</v>
      </c>
      <c r="K206" s="788">
        <v>2</v>
      </c>
      <c r="L206" s="788">
        <v>2</v>
      </c>
      <c r="M206" s="788">
        <v>2</v>
      </c>
      <c r="N206" s="788">
        <v>2</v>
      </c>
      <c r="O206" s="788">
        <v>2</v>
      </c>
      <c r="P206" s="788">
        <v>2</v>
      </c>
      <c r="Q206" s="788">
        <v>2</v>
      </c>
      <c r="S206" s="221">
        <f t="shared" si="534"/>
        <v>2</v>
      </c>
      <c r="T206" s="222">
        <f>IF('Assessment Details'!F25='Assessment Details'!J31,0,Poeng!S206)</f>
        <v>2</v>
      </c>
      <c r="U206" s="190"/>
      <c r="V206" s="977">
        <f>IF('Assessment Details'!F25='Assessment Details'!J31,0,Poeng!Y206)</f>
        <v>2</v>
      </c>
      <c r="W206" s="239"/>
      <c r="X206" s="169">
        <f>IF($X$4=$X$6,S206,0)</f>
        <v>0</v>
      </c>
      <c r="Y206" s="168">
        <f>VLOOKUP(B206,'Manuell filtrering og justering'!$A$7:$H$253,'Manuell filtrering og justering'!$H$1,FALSE)</f>
        <v>2</v>
      </c>
      <c r="Z206" s="169">
        <f t="shared" si="535"/>
        <v>2</v>
      </c>
      <c r="AA206" s="1051">
        <f>IF($AB$5='Manuell filtrering og justering'!$J$2,Y206-V206,(S206-Z206))</f>
        <v>0</v>
      </c>
      <c r="AC206" s="171">
        <f t="shared" si="536"/>
        <v>0</v>
      </c>
      <c r="AD206" s="171">
        <f t="shared" si="542"/>
        <v>0</v>
      </c>
      <c r="AE206" s="171">
        <f t="shared" si="543"/>
        <v>0</v>
      </c>
      <c r="AF206" s="171">
        <f t="shared" si="544"/>
        <v>0</v>
      </c>
      <c r="AH206" s="172">
        <f>IF(VLOOKUP(D206,'Pre-Assessment Estimator'!$E$11:$Z$224,'Pre-Assessment Estimator'!$G$2,FALSE)&gt;AA206,AA206,VLOOKUP(D206,'Pre-Assessment Estimator'!$E$11:$Z$224,'Pre-Assessment Estimator'!$G$2,FALSE))</f>
        <v>0</v>
      </c>
      <c r="AI206" s="172">
        <f>IF(VLOOKUP(D206,'Pre-Assessment Estimator'!$E$11:$Z$224,'Pre-Assessment Estimator'!$N$2,FALSE)&gt;AA206,AA206,VLOOKUP(D206,'Pre-Assessment Estimator'!$E$11:$Z$224,'Pre-Assessment Estimator'!$N$2,FALSE))</f>
        <v>0</v>
      </c>
      <c r="AJ206" s="172">
        <f>IF(VLOOKUP(D206,'Pre-Assessment Estimator'!$E$11:$Z$224,'Pre-Assessment Estimator'!$U$2,FALSE)&gt;AA206,AA206,VLOOKUP(D206,'Pre-Assessment Estimator'!$E$11:$Z$224,'Pre-Assessment Estimator'!$U$2,FALSE))</f>
        <v>0</v>
      </c>
      <c r="AL206" s="292"/>
      <c r="AM206" s="293"/>
      <c r="AN206" s="293"/>
      <c r="AO206" s="293"/>
      <c r="AP206" s="294"/>
      <c r="AQ206" s="139"/>
      <c r="AR206" s="292"/>
      <c r="AS206" s="293"/>
      <c r="AT206" s="293"/>
      <c r="AU206" s="293"/>
      <c r="AV206" s="294"/>
      <c r="AX206" s="188"/>
      <c r="AY206" s="189"/>
      <c r="AZ206" s="189"/>
      <c r="BA206" s="189"/>
      <c r="BB206" s="190"/>
      <c r="BC206" s="182">
        <f t="shared" si="458"/>
        <v>9</v>
      </c>
      <c r="BD206" s="164" t="str">
        <f t="shared" si="538"/>
        <v>N/A</v>
      </c>
      <c r="BE206" s="185"/>
      <c r="BF206" s="182">
        <f t="shared" si="550"/>
        <v>9</v>
      </c>
      <c r="BG206" s="164" t="str">
        <f t="shared" si="539"/>
        <v>N/A</v>
      </c>
      <c r="BH206" s="185"/>
      <c r="BI206" s="182">
        <f t="shared" si="441"/>
        <v>9</v>
      </c>
      <c r="BJ206" s="164" t="str">
        <f t="shared" si="540"/>
        <v>N/A</v>
      </c>
      <c r="BK206" s="185"/>
      <c r="BN206" s="167"/>
      <c r="BO206" s="167"/>
      <c r="BP206" s="167" t="str">
        <f t="shared" si="548"/>
        <v/>
      </c>
      <c r="BQ206" s="167">
        <f t="shared" si="393"/>
        <v>9</v>
      </c>
      <c r="BR206" s="167">
        <f t="shared" si="394"/>
        <v>9</v>
      </c>
      <c r="BS206" s="167">
        <f t="shared" si="395"/>
        <v>9</v>
      </c>
      <c r="BV206" s="167"/>
      <c r="BW206" s="167"/>
      <c r="BX206" s="230"/>
      <c r="BY206" s="167"/>
      <c r="BZ206" s="688"/>
      <c r="CA206" s="167"/>
      <c r="CD206" s="99"/>
      <c r="CF206" s="689"/>
    </row>
    <row r="207" spans="1:84" x14ac:dyDescent="0.25">
      <c r="A207" s="96">
        <v>199</v>
      </c>
      <c r="C207" s="712" t="s">
        <v>189</v>
      </c>
      <c r="D207" s="711"/>
      <c r="E207" s="952"/>
      <c r="F207" s="952"/>
      <c r="G207" s="952"/>
      <c r="H207" s="952"/>
      <c r="I207" s="952"/>
      <c r="J207" s="952"/>
      <c r="K207" s="952"/>
      <c r="L207" s="952"/>
      <c r="M207" s="952"/>
      <c r="N207" s="952"/>
      <c r="O207" s="952"/>
      <c r="P207" s="952"/>
      <c r="Q207" s="952"/>
      <c r="S207" s="970"/>
      <c r="T207" s="712"/>
      <c r="U207" s="969"/>
      <c r="V207" s="970"/>
      <c r="W207" s="1117"/>
      <c r="X207" s="1184"/>
      <c r="Y207" s="168"/>
      <c r="Z207" s="970"/>
      <c r="AA207" s="971"/>
      <c r="AC207" s="171">
        <f t="shared" si="536"/>
        <v>0</v>
      </c>
      <c r="AD207" s="974"/>
      <c r="AE207" s="974"/>
      <c r="AF207" s="974"/>
      <c r="AH207" s="731"/>
      <c r="AI207" s="731"/>
      <c r="AJ207" s="731"/>
      <c r="AL207" s="292"/>
      <c r="AM207" s="293"/>
      <c r="AN207" s="293"/>
      <c r="AO207" s="293"/>
      <c r="AP207" s="294"/>
      <c r="AQ207" s="139"/>
      <c r="AR207" s="292"/>
      <c r="AS207" s="293"/>
      <c r="AT207" s="293"/>
      <c r="AU207" s="293"/>
      <c r="AV207" s="294"/>
      <c r="AX207" s="188"/>
      <c r="AY207" s="189"/>
      <c r="AZ207" s="189"/>
      <c r="BA207" s="189"/>
      <c r="BB207" s="190">
        <f t="shared" si="537"/>
        <v>0</v>
      </c>
      <c r="BC207" s="182">
        <f t="shared" si="458"/>
        <v>9</v>
      </c>
      <c r="BD207" s="164" t="str">
        <f t="shared" si="538"/>
        <v>N/A</v>
      </c>
      <c r="BE207" s="185"/>
      <c r="BF207" s="182">
        <f t="shared" si="550"/>
        <v>9</v>
      </c>
      <c r="BG207" s="164" t="str">
        <f t="shared" si="539"/>
        <v>N/A</v>
      </c>
      <c r="BH207" s="185"/>
      <c r="BI207" s="182">
        <f t="shared" si="441"/>
        <v>9</v>
      </c>
      <c r="BJ207" s="164" t="str">
        <f t="shared" si="540"/>
        <v>N/A</v>
      </c>
      <c r="BK207" s="185"/>
      <c r="BN207" s="167"/>
      <c r="BO207" s="167"/>
      <c r="BP207" s="167" t="str">
        <f t="shared" si="548"/>
        <v/>
      </c>
      <c r="BQ207" s="167">
        <f t="shared" si="393"/>
        <v>9</v>
      </c>
      <c r="BR207" s="167">
        <f t="shared" si="394"/>
        <v>9</v>
      </c>
      <c r="BS207" s="167">
        <f t="shared" si="395"/>
        <v>9</v>
      </c>
      <c r="BV207" s="167" t="str">
        <f>C207</f>
        <v>POL 03</v>
      </c>
      <c r="BW207" s="167" t="str">
        <f>IFERROR(VLOOKUP($D207,'Pre-Assessment Estimator'!$E$11:$AB$224,'Pre-Assessment Estimator'!AB$2,FALSE),"")</f>
        <v/>
      </c>
      <c r="BX207" s="167" t="str">
        <f>IFERROR(VLOOKUP($D207,'Pre-Assessment Estimator'!$E$11:$AI$224,'Pre-Assessment Estimator'!AI$2,FALSE),"")</f>
        <v/>
      </c>
      <c r="BY207" s="167" t="str">
        <f>IFERROR(VLOOKUP($BW207,$D$291:$G$324,E$289,FALSE),"")</f>
        <v/>
      </c>
      <c r="BZ207" s="167" t="str">
        <f>IFERROR(VLOOKUP($BW207,$D$291:$G$324,F$289,FALSE),"")</f>
        <v/>
      </c>
      <c r="CA207" s="167"/>
      <c r="CB207" s="96" t="str">
        <f>IFERROR(VLOOKUP($BW207,$D$291:$G$324,H$289,FALSE),"")</f>
        <v/>
      </c>
    </row>
    <row r="208" spans="1:84" x14ac:dyDescent="0.25">
      <c r="A208" s="96">
        <v>200</v>
      </c>
      <c r="B208" s="137" t="str">
        <f>C208</f>
        <v>POL 04</v>
      </c>
      <c r="C208" s="847" t="s">
        <v>190</v>
      </c>
      <c r="D208" s="845" t="s">
        <v>167</v>
      </c>
      <c r="E208" s="965">
        <v>1</v>
      </c>
      <c r="F208" s="965">
        <v>1</v>
      </c>
      <c r="G208" s="965">
        <v>1</v>
      </c>
      <c r="H208" s="965">
        <v>1</v>
      </c>
      <c r="I208" s="965">
        <v>1</v>
      </c>
      <c r="J208" s="965">
        <v>1</v>
      </c>
      <c r="K208" s="965">
        <v>1</v>
      </c>
      <c r="L208" s="965">
        <v>1</v>
      </c>
      <c r="M208" s="965">
        <v>1</v>
      </c>
      <c r="N208" s="965">
        <v>1</v>
      </c>
      <c r="O208" s="965">
        <v>1</v>
      </c>
      <c r="P208" s="965">
        <v>1</v>
      </c>
      <c r="Q208" s="965">
        <v>1</v>
      </c>
      <c r="S208" s="977">
        <f t="shared" ref="S208:S214" si="551">HLOOKUP($D$6,$E$9:$Q$231,$A208,FALSE)</f>
        <v>1</v>
      </c>
      <c r="T208" s="222"/>
      <c r="U208" s="1113"/>
      <c r="V208" s="977"/>
      <c r="W208" s="1114">
        <f>'Manuell filtrering og justering'!E89</f>
        <v>0</v>
      </c>
      <c r="X208" s="1176"/>
      <c r="Y208" s="994">
        <f>SUM(AA209:AA210)</f>
        <v>1</v>
      </c>
      <c r="Z208" s="977">
        <f t="shared" ref="Z208:Z213" si="552">IF(SUM(T208:X208)&gt;S208,S208,SUM(T208:X208))</f>
        <v>0</v>
      </c>
      <c r="AA208" s="1081">
        <f>SUM(AA209:AA210)</f>
        <v>1</v>
      </c>
      <c r="AC208" s="171">
        <f t="shared" si="536"/>
        <v>5.7142857142857143E-3</v>
      </c>
      <c r="AD208" s="935">
        <f>IF(SUM(AD209:AD210)&gt;$AC$208,$AC$208,SUM(AD209:AD210))</f>
        <v>0</v>
      </c>
      <c r="AE208" s="935">
        <f>IF(SUM(AE209:AE210)&gt;$AC$208,$AC$208,SUM(AE209:AE210))</f>
        <v>0</v>
      </c>
      <c r="AF208" s="935">
        <f>IF(SUM(AF209:AF210)&gt;$AC$208,$AC$208,SUM(AF209:AF210))</f>
        <v>0</v>
      </c>
      <c r="AH208" s="972">
        <f>IF(SUM(AH209:AH210)&gt;Pol04_credits,Pol04_credits,SUM(AH209:AH210))</f>
        <v>0</v>
      </c>
      <c r="AI208" s="972">
        <f>IF(SUM(AI209:AI210)&gt;Pol04_credits,Pol04_credits,SUM(AI209:AI210))</f>
        <v>0</v>
      </c>
      <c r="AJ208" s="972">
        <f>IF(SUM(AJ209:AJ210)&gt;Pol04_credits,Pol04_credits,SUM(AJ209:AJ210))</f>
        <v>0</v>
      </c>
      <c r="AK208" s="96" t="s">
        <v>428</v>
      </c>
      <c r="AL208" s="292"/>
      <c r="AM208" s="293"/>
      <c r="AN208" s="293"/>
      <c r="AO208" s="293"/>
      <c r="AP208" s="294"/>
      <c r="AQ208" s="139"/>
      <c r="AR208" s="292"/>
      <c r="AS208" s="293"/>
      <c r="AT208" s="293"/>
      <c r="AU208" s="293"/>
      <c r="AV208" s="294"/>
      <c r="AX208" s="188"/>
      <c r="AY208" s="189"/>
      <c r="AZ208" s="189"/>
      <c r="BA208" s="189"/>
      <c r="BB208" s="190">
        <f t="shared" si="537"/>
        <v>0</v>
      </c>
      <c r="BC208" s="182">
        <f t="shared" ref="BC208:BC210" si="553">IF(BB208=0,9,IF(AH208&gt;=BB208,5,IF(AH208&gt;=BA208,4,IF(AH208&gt;=AZ208,3,IF(AH208&gt;=AY208,2,IF(AH208&lt;AX208,0,1))))))</f>
        <v>9</v>
      </c>
      <c r="BD208" s="164" t="str">
        <f t="shared" si="538"/>
        <v>N/A</v>
      </c>
      <c r="BE208" s="185"/>
      <c r="BF208" s="182">
        <f t="shared" si="550"/>
        <v>9</v>
      </c>
      <c r="BG208" s="164" t="str">
        <f t="shared" si="539"/>
        <v>N/A</v>
      </c>
      <c r="BH208" s="185"/>
      <c r="BI208" s="182">
        <f t="shared" ref="BI208:BI210" si="554">IF(BB208=0,9,IF(AJ208&gt;=BB208,5,IF(AJ208&gt;=BA208,4,IF(AJ208&gt;=AZ208,3,IF(AJ208&gt;=AY208,2,IF(AJ208&lt;AX208,0,1))))))</f>
        <v>9</v>
      </c>
      <c r="BJ208" s="164" t="str">
        <f t="shared" si="540"/>
        <v>N/A</v>
      </c>
      <c r="BK208" s="185"/>
      <c r="BN208" s="167"/>
      <c r="BO208" s="167"/>
      <c r="BP208" s="167" t="str">
        <f t="shared" si="548"/>
        <v/>
      </c>
      <c r="BQ208" s="167">
        <f t="shared" si="393"/>
        <v>9</v>
      </c>
      <c r="BR208" s="167">
        <f t="shared" si="394"/>
        <v>9</v>
      </c>
      <c r="BS208" s="167">
        <f t="shared" si="395"/>
        <v>9</v>
      </c>
      <c r="BV208" s="167" t="str">
        <f>C208</f>
        <v>POL 04</v>
      </c>
      <c r="BW208" s="167" t="str">
        <f>IFERROR(VLOOKUP($D208,'Pre-Assessment Estimator'!$E$11:$AB$224,'Pre-Assessment Estimator'!AB$2,FALSE),"")</f>
        <v>No</v>
      </c>
      <c r="BX208" s="230" t="str">
        <f>IFERROR(VLOOKUP($D208,'Pre-Assessment Estimator'!$E$11:$AI$224,'Pre-Assessment Estimator'!AI$2,FALSE),"")</f>
        <v>Ja</v>
      </c>
      <c r="BY208" s="167">
        <f>IFERROR(VLOOKUP($BW208,$D$291:$G$324,E$289,FALSE),"")</f>
        <v>1</v>
      </c>
      <c r="BZ208" s="688" t="s">
        <v>433</v>
      </c>
      <c r="CA208" s="167"/>
      <c r="CB208" s="96" t="str">
        <f>IFERROR(VLOOKUP($BW208,$D$291:$G$324,H$289,FALSE),"")</f>
        <v/>
      </c>
      <c r="CC208" s="96" t="s">
        <v>439</v>
      </c>
      <c r="CD208" s="167">
        <f>VLOOKUP(BZ208,$BZ$4:$CA$5,2,FALSE)</f>
        <v>1</v>
      </c>
      <c r="CF208" s="689">
        <f>IF($BW$5=ais_no,CD208,IF(AND(BZ208=$BZ$4,BW208=$CB$4),0,BY208))</f>
        <v>1</v>
      </c>
    </row>
    <row r="209" spans="1:84" x14ac:dyDescent="0.25">
      <c r="A209" s="96">
        <v>201</v>
      </c>
      <c r="B209" s="96" t="str">
        <f t="shared" ref="B209:B210" si="555">$C$208&amp;C209</f>
        <v>POL 04a</v>
      </c>
      <c r="C209" s="166" t="s">
        <v>696</v>
      </c>
      <c r="D209" s="931" t="s">
        <v>908</v>
      </c>
      <c r="E209" s="788">
        <v>1</v>
      </c>
      <c r="F209" s="788">
        <v>1</v>
      </c>
      <c r="G209" s="788">
        <v>1</v>
      </c>
      <c r="H209" s="788">
        <v>1</v>
      </c>
      <c r="I209" s="788">
        <v>1</v>
      </c>
      <c r="J209" s="788">
        <v>1</v>
      </c>
      <c r="K209" s="788">
        <v>1</v>
      </c>
      <c r="L209" s="788">
        <v>1</v>
      </c>
      <c r="M209" s="788">
        <v>1</v>
      </c>
      <c r="N209" s="788">
        <v>1</v>
      </c>
      <c r="O209" s="788">
        <v>1</v>
      </c>
      <c r="P209" s="788">
        <v>1</v>
      </c>
      <c r="Q209" s="788">
        <v>1</v>
      </c>
      <c r="S209" s="221">
        <f t="shared" si="551"/>
        <v>1</v>
      </c>
      <c r="T209" s="222">
        <f>IF('Assessment Details'!F18=AD_Yes,Poeng!S209,0)</f>
        <v>0</v>
      </c>
      <c r="U209" s="168"/>
      <c r="V209" s="977">
        <f>IF('Assessment Details'!F18=AD_Yes,Poeng!Y209,0)</f>
        <v>0</v>
      </c>
      <c r="W209" s="239"/>
      <c r="X209" s="1175"/>
      <c r="Y209" s="168">
        <f>VLOOKUP(B209,'Manuell filtrering og justering'!$A$7:$H$253,'Manuell filtrering og justering'!$H$1,FALSE)</f>
        <v>1</v>
      </c>
      <c r="Z209" s="169">
        <f t="shared" si="552"/>
        <v>0</v>
      </c>
      <c r="AA209" s="1051">
        <f>IF($AB$5='Manuell filtrering og justering'!$J$2,Y209-V209,(S209-Z209))</f>
        <v>1</v>
      </c>
      <c r="AC209" s="171">
        <f t="shared" si="536"/>
        <v>5.7142857142857143E-3</v>
      </c>
      <c r="AD209" s="171">
        <f t="shared" si="542"/>
        <v>0</v>
      </c>
      <c r="AE209" s="171">
        <f t="shared" si="543"/>
        <v>0</v>
      </c>
      <c r="AF209" s="171">
        <f t="shared" si="544"/>
        <v>0</v>
      </c>
      <c r="AH209" s="172">
        <f>IF(VLOOKUP(D209,'Pre-Assessment Estimator'!$E$11:$Z$224,'Pre-Assessment Estimator'!$G$2,FALSE)&gt;AA209,AA209,VLOOKUP(D209,'Pre-Assessment Estimator'!$E$11:$Z$224,'Pre-Assessment Estimator'!$G$2,FALSE))</f>
        <v>0</v>
      </c>
      <c r="AI209" s="172">
        <f>IF(VLOOKUP(D209,'Pre-Assessment Estimator'!$E$11:$Z$224,'Pre-Assessment Estimator'!$N$2,FALSE)&gt;AA209,AA209,VLOOKUP(D209,'Pre-Assessment Estimator'!$E$11:$Z$224,'Pre-Assessment Estimator'!$N$2,FALSE))</f>
        <v>0</v>
      </c>
      <c r="AJ209" s="172">
        <f>IF(VLOOKUP(D209,'Pre-Assessment Estimator'!$E$11:$Z$224,'Pre-Assessment Estimator'!$U$2,FALSE)&gt;AA209,AA209,VLOOKUP(D209,'Pre-Assessment Estimator'!$E$11:$Z$224,'Pre-Assessment Estimator'!$U$2,FALSE))</f>
        <v>0</v>
      </c>
      <c r="AL209" s="863"/>
      <c r="AM209" s="864"/>
      <c r="AN209" s="864"/>
      <c r="AO209" s="864"/>
      <c r="AP209" s="856"/>
      <c r="AQ209" s="139"/>
      <c r="AR209" s="863"/>
      <c r="AS209" s="864"/>
      <c r="AT209" s="864"/>
      <c r="AU209" s="864"/>
      <c r="AV209" s="856"/>
      <c r="AX209" s="742"/>
      <c r="AY209" s="744"/>
      <c r="AZ209" s="744"/>
      <c r="BA209" s="744"/>
      <c r="BB209" s="865"/>
      <c r="BC209" s="182">
        <f t="shared" si="553"/>
        <v>9</v>
      </c>
      <c r="BD209" s="164" t="str">
        <f t="shared" si="538"/>
        <v>N/A</v>
      </c>
      <c r="BE209" s="185"/>
      <c r="BF209" s="182">
        <f t="shared" si="550"/>
        <v>9</v>
      </c>
      <c r="BG209" s="164" t="str">
        <f t="shared" si="539"/>
        <v>N/A</v>
      </c>
      <c r="BH209" s="185"/>
      <c r="BI209" s="182">
        <f t="shared" si="554"/>
        <v>9</v>
      </c>
      <c r="BJ209" s="164" t="str">
        <f t="shared" si="540"/>
        <v>N/A</v>
      </c>
      <c r="BK209" s="860"/>
      <c r="BN209" s="167"/>
      <c r="BO209" s="167"/>
      <c r="BP209" s="167" t="str">
        <f t="shared" si="548"/>
        <v/>
      </c>
      <c r="BQ209" s="167">
        <f t="shared" si="393"/>
        <v>9</v>
      </c>
      <c r="BR209" s="167">
        <f t="shared" si="394"/>
        <v>9</v>
      </c>
      <c r="BS209" s="167">
        <f t="shared" si="395"/>
        <v>9</v>
      </c>
      <c r="BV209" s="167"/>
      <c r="BW209" s="167"/>
      <c r="BX209" s="230"/>
      <c r="BY209" s="167"/>
      <c r="BZ209" s="688"/>
      <c r="CA209" s="167"/>
      <c r="CD209" s="167"/>
      <c r="CF209" s="689"/>
    </row>
    <row r="210" spans="1:84" x14ac:dyDescent="0.25">
      <c r="A210" s="96">
        <v>202</v>
      </c>
      <c r="B210" s="96" t="str">
        <f t="shared" si="555"/>
        <v>POL 04b</v>
      </c>
      <c r="C210" s="166" t="s">
        <v>699</v>
      </c>
      <c r="D210" s="931" t="s">
        <v>909</v>
      </c>
      <c r="E210" s="788">
        <v>1</v>
      </c>
      <c r="F210" s="788">
        <v>1</v>
      </c>
      <c r="G210" s="788">
        <v>1</v>
      </c>
      <c r="H210" s="788">
        <v>1</v>
      </c>
      <c r="I210" s="788">
        <v>1</v>
      </c>
      <c r="J210" s="788">
        <v>1</v>
      </c>
      <c r="K210" s="788">
        <v>1</v>
      </c>
      <c r="L210" s="788">
        <v>1</v>
      </c>
      <c r="M210" s="788">
        <v>1</v>
      </c>
      <c r="N210" s="788">
        <v>1</v>
      </c>
      <c r="O210" s="788">
        <v>1</v>
      </c>
      <c r="P210" s="788">
        <v>1</v>
      </c>
      <c r="Q210" s="788">
        <v>1</v>
      </c>
      <c r="S210" s="221">
        <f t="shared" si="551"/>
        <v>1</v>
      </c>
      <c r="T210" s="222">
        <f>IF(T209=1,0,S210)</f>
        <v>1</v>
      </c>
      <c r="U210" s="168"/>
      <c r="V210" s="977">
        <f>IF(V209=1,0,Y210)</f>
        <v>1</v>
      </c>
      <c r="W210" s="239"/>
      <c r="X210" s="1175"/>
      <c r="Y210" s="168">
        <f>VLOOKUP(B210,'Manuell filtrering og justering'!$A$7:$H$253,'Manuell filtrering og justering'!$H$1,FALSE)</f>
        <v>1</v>
      </c>
      <c r="Z210" s="169">
        <f t="shared" si="552"/>
        <v>1</v>
      </c>
      <c r="AA210" s="1051">
        <f>IF($AB$5='Manuell filtrering og justering'!$J$2,Y210-V210,(S210-Z210))</f>
        <v>0</v>
      </c>
      <c r="AC210" s="171">
        <f t="shared" si="536"/>
        <v>0</v>
      </c>
      <c r="AD210" s="171">
        <f t="shared" si="542"/>
        <v>0</v>
      </c>
      <c r="AE210" s="171">
        <f t="shared" si="543"/>
        <v>0</v>
      </c>
      <c r="AF210" s="171">
        <f t="shared" si="544"/>
        <v>0</v>
      </c>
      <c r="AH210" s="172">
        <f>IF(VLOOKUP(D210,'Pre-Assessment Estimator'!$E$11:$Z$224,'Pre-Assessment Estimator'!$G$2,FALSE)&gt;AA210,AA210,VLOOKUP(D210,'Pre-Assessment Estimator'!$E$11:$Z$224,'Pre-Assessment Estimator'!$G$2,FALSE))</f>
        <v>0</v>
      </c>
      <c r="AI210" s="172">
        <f>IF(VLOOKUP(D210,'Pre-Assessment Estimator'!$E$11:$Z$224,'Pre-Assessment Estimator'!$N$2,FALSE)&gt;AA210,AA210,VLOOKUP(D210,'Pre-Assessment Estimator'!$E$11:$Z$224,'Pre-Assessment Estimator'!$N$2,FALSE))</f>
        <v>0</v>
      </c>
      <c r="AJ210" s="172">
        <f>IF(VLOOKUP(D210,'Pre-Assessment Estimator'!$E$11:$Z$224,'Pre-Assessment Estimator'!$U$2,FALSE)&gt;AA210,AA210,VLOOKUP(D210,'Pre-Assessment Estimator'!$E$11:$Z$224,'Pre-Assessment Estimator'!$U$2,FALSE))</f>
        <v>0</v>
      </c>
      <c r="AL210" s="863"/>
      <c r="AM210" s="864"/>
      <c r="AN210" s="864"/>
      <c r="AO210" s="864"/>
      <c r="AP210" s="856"/>
      <c r="AQ210" s="139"/>
      <c r="AR210" s="863"/>
      <c r="AS210" s="864"/>
      <c r="AT210" s="864"/>
      <c r="AU210" s="864"/>
      <c r="AV210" s="856"/>
      <c r="AX210" s="742"/>
      <c r="AY210" s="744"/>
      <c r="AZ210" s="744"/>
      <c r="BA210" s="744"/>
      <c r="BB210" s="865"/>
      <c r="BC210" s="182">
        <f t="shared" si="553"/>
        <v>9</v>
      </c>
      <c r="BD210" s="164" t="str">
        <f t="shared" si="538"/>
        <v>N/A</v>
      </c>
      <c r="BE210" s="185"/>
      <c r="BF210" s="182">
        <f t="shared" si="550"/>
        <v>9</v>
      </c>
      <c r="BG210" s="164" t="str">
        <f t="shared" si="539"/>
        <v>N/A</v>
      </c>
      <c r="BH210" s="185"/>
      <c r="BI210" s="182">
        <f t="shared" si="554"/>
        <v>9</v>
      </c>
      <c r="BJ210" s="164" t="str">
        <f t="shared" si="540"/>
        <v>N/A</v>
      </c>
      <c r="BK210" s="860"/>
      <c r="BN210" s="167"/>
      <c r="BO210" s="167"/>
      <c r="BP210" s="167" t="str">
        <f t="shared" si="548"/>
        <v/>
      </c>
      <c r="BQ210" s="167">
        <f t="shared" si="393"/>
        <v>9</v>
      </c>
      <c r="BR210" s="167">
        <f t="shared" si="394"/>
        <v>9</v>
      </c>
      <c r="BS210" s="167">
        <f t="shared" si="395"/>
        <v>9</v>
      </c>
      <c r="BV210" s="167"/>
      <c r="BW210" s="167"/>
      <c r="BX210" s="230"/>
      <c r="BY210" s="167"/>
      <c r="BZ210" s="688"/>
      <c r="CA210" s="167"/>
      <c r="CD210" s="167"/>
      <c r="CF210" s="689"/>
    </row>
    <row r="211" spans="1:84" ht="15.75" thickBot="1" x14ac:dyDescent="0.3">
      <c r="A211" s="96">
        <v>203</v>
      </c>
      <c r="B211" s="137" t="str">
        <f>C211</f>
        <v>POL 05</v>
      </c>
      <c r="C211" s="847" t="s">
        <v>191</v>
      </c>
      <c r="D211" s="845" t="s">
        <v>912</v>
      </c>
      <c r="E211" s="965">
        <v>1</v>
      </c>
      <c r="F211" s="965">
        <v>1</v>
      </c>
      <c r="G211" s="1255">
        <v>0</v>
      </c>
      <c r="H211" s="965">
        <v>1</v>
      </c>
      <c r="I211" s="965">
        <v>1</v>
      </c>
      <c r="J211" s="965">
        <v>1</v>
      </c>
      <c r="K211" s="965">
        <v>1</v>
      </c>
      <c r="L211" s="965">
        <v>1</v>
      </c>
      <c r="M211" s="965">
        <v>1</v>
      </c>
      <c r="N211" s="965">
        <v>1</v>
      </c>
      <c r="O211" s="965">
        <v>1</v>
      </c>
      <c r="P211" s="965">
        <v>1</v>
      </c>
      <c r="Q211" s="965">
        <v>1</v>
      </c>
      <c r="S211" s="977">
        <f t="shared" si="551"/>
        <v>1</v>
      </c>
      <c r="T211" s="222">
        <f>IF(ADIND_option02=AD_no,Poeng!S211,0)</f>
        <v>0</v>
      </c>
      <c r="U211" s="1113"/>
      <c r="V211" s="977"/>
      <c r="W211" s="1114">
        <f>'Manuell filtrering og justering'!E90</f>
        <v>0</v>
      </c>
      <c r="X211" s="1176"/>
      <c r="Y211" s="994">
        <f>SUM(AA212:AA213)</f>
        <v>1</v>
      </c>
      <c r="Z211" s="977">
        <f t="shared" si="552"/>
        <v>0</v>
      </c>
      <c r="AA211" s="1081">
        <f>SUM(AA212:AA213)</f>
        <v>1</v>
      </c>
      <c r="AC211" s="171">
        <f t="shared" si="536"/>
        <v>5.7142857142857143E-3</v>
      </c>
      <c r="AD211" s="935">
        <f>IF(SUM(AD212:AD213)&gt;$AC$211,$AC$211,SUM(AD212:AD213))</f>
        <v>0</v>
      </c>
      <c r="AE211" s="935">
        <f>IF(SUM(AE212:AE213)&gt;$AC$211,$AC$211,SUM(AE212:AE213))</f>
        <v>0</v>
      </c>
      <c r="AF211" s="935">
        <f>IF(SUM(AF212:AF213)&gt;$AC$211,$AC$211,SUM(AF212:AF213))</f>
        <v>0</v>
      </c>
      <c r="AH211" s="972">
        <f>IF(SUM(AH212:AH213)&gt;Pol05_credits,Pol05_credits,SUM(AH212:AH213))</f>
        <v>0</v>
      </c>
      <c r="AI211" s="972">
        <f>IF(SUM(AI212:AI213)&gt;Pol05_credits,Pol05_credits,SUM(AI212:AI213))</f>
        <v>0</v>
      </c>
      <c r="AJ211" s="972">
        <f>IF(SUM(AJ212:AJ213)&gt;Pol05_credits,Pol05_credits,SUM(AJ212:AJ213))</f>
        <v>0</v>
      </c>
      <c r="AK211" s="96" t="s">
        <v>428</v>
      </c>
      <c r="AL211" s="295"/>
      <c r="AM211" s="296"/>
      <c r="AN211" s="296"/>
      <c r="AO211" s="296"/>
      <c r="AP211" s="297"/>
      <c r="AQ211" s="139"/>
      <c r="AR211" s="295"/>
      <c r="AS211" s="296"/>
      <c r="AT211" s="296"/>
      <c r="AU211" s="296"/>
      <c r="AV211" s="297"/>
      <c r="AX211" s="194"/>
      <c r="AY211" s="196"/>
      <c r="AZ211" s="196"/>
      <c r="BA211" s="196"/>
      <c r="BB211" s="197">
        <f t="shared" si="537"/>
        <v>0</v>
      </c>
      <c r="BC211" s="198">
        <f t="shared" si="458"/>
        <v>9</v>
      </c>
      <c r="BD211" s="164" t="str">
        <f t="shared" si="538"/>
        <v>N/A</v>
      </c>
      <c r="BE211" s="200"/>
      <c r="BF211" s="198">
        <f>IF(BB211=0,9,IF(AI211&gt;=BB211,5,IF(AI211&gt;=BA211,4,IF(AI211&gt;=AZ211,3,IF(AI211&gt;=AY211,2,IF(AI211&lt;AX211,0,1))))))</f>
        <v>9</v>
      </c>
      <c r="BG211" s="164" t="str">
        <f t="shared" si="539"/>
        <v>N/A</v>
      </c>
      <c r="BH211" s="200"/>
      <c r="BI211" s="198">
        <f t="shared" si="441"/>
        <v>9</v>
      </c>
      <c r="BJ211" s="164" t="str">
        <f t="shared" si="540"/>
        <v>N/A</v>
      </c>
      <c r="BK211" s="200"/>
      <c r="BN211" s="167"/>
      <c r="BO211" s="167"/>
      <c r="BP211" s="167" t="str">
        <f t="shared" si="548"/>
        <v/>
      </c>
      <c r="BQ211" s="167">
        <f t="shared" si="393"/>
        <v>9</v>
      </c>
      <c r="BR211" s="167">
        <f t="shared" si="394"/>
        <v>9</v>
      </c>
      <c r="BS211" s="167">
        <f t="shared" si="395"/>
        <v>9</v>
      </c>
      <c r="BV211" s="167" t="str">
        <f>C211</f>
        <v>POL 05</v>
      </c>
      <c r="BW211" s="167" t="str">
        <f>IFERROR(VLOOKUP($D211,'Pre-Assessment Estimator'!$E$11:$AB$224,'Pre-Assessment Estimator'!AB$2,FALSE),"")</f>
        <v>No</v>
      </c>
      <c r="BX211" s="230" t="str">
        <f>IFERROR(VLOOKUP($D211,'Pre-Assessment Estimator'!$E$11:$AI$224,'Pre-Assessment Estimator'!AI$2,FALSE),"")</f>
        <v>Ja</v>
      </c>
      <c r="BY211" s="167">
        <f>IFERROR(VLOOKUP($BW211,$D$291:$G$324,E$289,FALSE),"")</f>
        <v>1</v>
      </c>
      <c r="BZ211" s="688" t="s">
        <v>433</v>
      </c>
      <c r="CA211" s="167"/>
      <c r="CB211" s="96" t="str">
        <f>IFERROR(VLOOKUP($BW211,$D$291:$G$324,H$289,FALSE),"")</f>
        <v/>
      </c>
      <c r="CC211" s="96" t="s">
        <v>406</v>
      </c>
      <c r="CD211" s="167">
        <f>VLOOKUP(BZ211,$BZ$4:$CA$5,2,FALSE)</f>
        <v>1</v>
      </c>
      <c r="CF211" s="689">
        <f>IF($BW$5=ais_no,CD211,IF(AND(BZ211=$BZ$4,BW211=$CB$4),0,BY211))</f>
        <v>1</v>
      </c>
    </row>
    <row r="212" spans="1:84" x14ac:dyDescent="0.25">
      <c r="A212" s="96">
        <v>204</v>
      </c>
      <c r="B212" s="96" t="str">
        <f t="shared" ref="B212:B213" si="556">$C$211&amp;C212</f>
        <v>POL 05a</v>
      </c>
      <c r="C212" s="166" t="s">
        <v>696</v>
      </c>
      <c r="D212" s="931" t="s">
        <v>910</v>
      </c>
      <c r="E212" s="788">
        <v>1</v>
      </c>
      <c r="F212" s="788">
        <v>1</v>
      </c>
      <c r="G212" s="1036">
        <v>0</v>
      </c>
      <c r="H212" s="788">
        <v>1</v>
      </c>
      <c r="I212" s="788">
        <v>1</v>
      </c>
      <c r="J212" s="788">
        <v>1</v>
      </c>
      <c r="K212" s="788">
        <v>1</v>
      </c>
      <c r="L212" s="788">
        <v>1</v>
      </c>
      <c r="M212" s="788">
        <v>1</v>
      </c>
      <c r="N212" s="788">
        <v>1</v>
      </c>
      <c r="O212" s="788">
        <v>1</v>
      </c>
      <c r="P212" s="788">
        <v>1</v>
      </c>
      <c r="Q212" s="788">
        <v>1</v>
      </c>
      <c r="S212" s="221">
        <f t="shared" si="551"/>
        <v>1</v>
      </c>
      <c r="T212" s="739">
        <f>IF('Assessment Details'!F27=AD_Yes,Poeng!S212,0)</f>
        <v>0</v>
      </c>
      <c r="U212" s="1116">
        <f>IF(ADIND_option02=AD_no,S212,0)</f>
        <v>0</v>
      </c>
      <c r="V212" s="1121">
        <f>IF('Assessment Details'!F27=AD_Yes,Poeng!Y212,0)</f>
        <v>0</v>
      </c>
      <c r="W212" s="1118"/>
      <c r="X212" s="169">
        <f>IF($X$4=$X$6,S212,0)</f>
        <v>0</v>
      </c>
      <c r="Y212" s="168">
        <f>VLOOKUP(B212,'Manuell filtrering og justering'!$A$7:$H$253,'Manuell filtrering og justering'!$H$1,FALSE)</f>
        <v>1</v>
      </c>
      <c r="Z212" s="169">
        <f t="shared" si="552"/>
        <v>0</v>
      </c>
      <c r="AA212" s="1051">
        <f>IF($AB$5='Manuell filtrering og justering'!$J$2,Y212-V212,(S212-Z212))</f>
        <v>1</v>
      </c>
      <c r="AC212" s="171">
        <f t="shared" si="536"/>
        <v>5.7142857142857143E-3</v>
      </c>
      <c r="AD212" s="171">
        <f t="shared" si="542"/>
        <v>0</v>
      </c>
      <c r="AE212" s="171">
        <f t="shared" si="543"/>
        <v>0</v>
      </c>
      <c r="AF212" s="171">
        <f t="shared" si="544"/>
        <v>0</v>
      </c>
      <c r="AH212" s="172">
        <f>IF(VLOOKUP(D212,'Pre-Assessment Estimator'!$E$11:$Z$224,'Pre-Assessment Estimator'!$G$2,FALSE)&gt;AA212,AA212,VLOOKUP(D212,'Pre-Assessment Estimator'!$E$11:$Z$224,'Pre-Assessment Estimator'!$G$2,FALSE))</f>
        <v>0</v>
      </c>
      <c r="AI212" s="172">
        <f>IF(VLOOKUP(D212,'Pre-Assessment Estimator'!$E$11:$Z$224,'Pre-Assessment Estimator'!$N$2,FALSE)&gt;AA212,AA212,VLOOKUP(D212,'Pre-Assessment Estimator'!$E$11:$Z$224,'Pre-Assessment Estimator'!$N$2,FALSE))</f>
        <v>0</v>
      </c>
      <c r="AJ212" s="172">
        <f>IF(VLOOKUP(D212,'Pre-Assessment Estimator'!$E$11:$Z$224,'Pre-Assessment Estimator'!$U$2,FALSE)&gt;AA212,AA212,VLOOKUP(D212,'Pre-Assessment Estimator'!$E$11:$Z$224,'Pre-Assessment Estimator'!$U$2,FALSE))</f>
        <v>0</v>
      </c>
      <c r="AL212" s="863"/>
      <c r="AM212" s="864"/>
      <c r="AN212" s="864"/>
      <c r="AO212" s="864"/>
      <c r="AP212" s="856"/>
      <c r="AQ212" s="139"/>
      <c r="AR212" s="863"/>
      <c r="AS212" s="864"/>
      <c r="AT212" s="864"/>
      <c r="AU212" s="864"/>
      <c r="AV212" s="856"/>
      <c r="AX212" s="742"/>
      <c r="AY212" s="744"/>
      <c r="AZ212" s="744"/>
      <c r="BA212" s="744"/>
      <c r="BB212" s="865"/>
      <c r="BC212" s="182">
        <f t="shared" si="458"/>
        <v>9</v>
      </c>
      <c r="BD212" s="164" t="str">
        <f t="shared" si="538"/>
        <v>N/A</v>
      </c>
      <c r="BE212" s="185"/>
      <c r="BF212" s="182">
        <f t="shared" ref="BF212:BF213" si="557">IF(BB212=0,9,IF(AI212&gt;=BB212,5,IF(AI212&gt;=BA212,4,IF(AI212&gt;=AZ212,3,IF(AI212&gt;=AY212,2,IF(AI212&lt;AX212,0,1))))))</f>
        <v>9</v>
      </c>
      <c r="BG212" s="164" t="str">
        <f t="shared" si="539"/>
        <v>N/A</v>
      </c>
      <c r="BH212" s="185"/>
      <c r="BI212" s="182">
        <f t="shared" si="441"/>
        <v>9</v>
      </c>
      <c r="BJ212" s="164" t="str">
        <f t="shared" si="540"/>
        <v>N/A</v>
      </c>
      <c r="BK212" s="860"/>
      <c r="BN212" s="167"/>
      <c r="BO212" s="167"/>
      <c r="BP212" s="167" t="str">
        <f t="shared" si="548"/>
        <v/>
      </c>
      <c r="BQ212" s="167">
        <f t="shared" si="393"/>
        <v>9</v>
      </c>
      <c r="BR212" s="167">
        <f t="shared" si="394"/>
        <v>9</v>
      </c>
      <c r="BS212" s="167">
        <f t="shared" si="395"/>
        <v>9</v>
      </c>
      <c r="BV212" s="314"/>
      <c r="BW212" s="314"/>
      <c r="BX212" s="866"/>
      <c r="BY212" s="314"/>
      <c r="BZ212" s="688"/>
      <c r="CA212" s="314"/>
      <c r="CD212" s="99"/>
      <c r="CF212" s="689"/>
    </row>
    <row r="213" spans="1:84" ht="15.75" thickBot="1" x14ac:dyDescent="0.3">
      <c r="A213" s="96">
        <v>205</v>
      </c>
      <c r="B213" s="96" t="str">
        <f t="shared" si="556"/>
        <v>POL 05b</v>
      </c>
      <c r="C213" s="229" t="s">
        <v>699</v>
      </c>
      <c r="D213" s="931" t="s">
        <v>911</v>
      </c>
      <c r="E213" s="958">
        <v>1</v>
      </c>
      <c r="F213" s="958">
        <v>1</v>
      </c>
      <c r="G213" s="1254">
        <v>0</v>
      </c>
      <c r="H213" s="958">
        <v>1</v>
      </c>
      <c r="I213" s="958">
        <v>1</v>
      </c>
      <c r="J213" s="958">
        <v>1</v>
      </c>
      <c r="K213" s="958">
        <v>1</v>
      </c>
      <c r="L213" s="958">
        <v>1</v>
      </c>
      <c r="M213" s="958">
        <v>1</v>
      </c>
      <c r="N213" s="958">
        <v>1</v>
      </c>
      <c r="O213" s="958">
        <v>1</v>
      </c>
      <c r="P213" s="958">
        <v>1</v>
      </c>
      <c r="Q213" s="958">
        <v>1</v>
      </c>
      <c r="S213" s="221">
        <f t="shared" si="551"/>
        <v>1</v>
      </c>
      <c r="T213" s="222">
        <f>IF(T212=1,0,S213)</f>
        <v>1</v>
      </c>
      <c r="U213" s="1116">
        <f>IF(ADIND_option02=AD_no,S213,0)</f>
        <v>0</v>
      </c>
      <c r="V213" s="1121">
        <f>IF(V212=1,0,Y213)</f>
        <v>1</v>
      </c>
      <c r="W213" s="1118"/>
      <c r="X213" s="169">
        <f>IF($X$4=$X$6,S213,0)</f>
        <v>0</v>
      </c>
      <c r="Y213" s="168">
        <f>VLOOKUP(B213,'Manuell filtrering og justering'!$A$7:$H$253,'Manuell filtrering og justering'!$H$1,FALSE)</f>
        <v>1</v>
      </c>
      <c r="Z213" s="169">
        <f t="shared" si="552"/>
        <v>1</v>
      </c>
      <c r="AA213" s="1051">
        <f>IF($AB$5='Manuell filtrering og justering'!$J$2,Y213-V213,(S213-Z213))</f>
        <v>0</v>
      </c>
      <c r="AC213" s="171">
        <f t="shared" si="536"/>
        <v>0</v>
      </c>
      <c r="AD213" s="171">
        <f t="shared" si="542"/>
        <v>0</v>
      </c>
      <c r="AE213" s="171">
        <f t="shared" si="543"/>
        <v>0</v>
      </c>
      <c r="AF213" s="171">
        <f t="shared" si="544"/>
        <v>0</v>
      </c>
      <c r="AH213" s="172">
        <f>IF(VLOOKUP(D213,'Pre-Assessment Estimator'!$E$11:$Z$224,'Pre-Assessment Estimator'!$G$2,FALSE)&gt;AA213,AA213,VLOOKUP(D213,'Pre-Assessment Estimator'!$E$11:$Z$224,'Pre-Assessment Estimator'!$G$2,FALSE))</f>
        <v>0</v>
      </c>
      <c r="AI213" s="172">
        <f>IF(VLOOKUP(D213,'Pre-Assessment Estimator'!$E$11:$Z$224,'Pre-Assessment Estimator'!$N$2,FALSE)&gt;AA213,AA213,VLOOKUP(D213,'Pre-Assessment Estimator'!$E$11:$Z$224,'Pre-Assessment Estimator'!$N$2,FALSE))</f>
        <v>0</v>
      </c>
      <c r="AJ213" s="172">
        <f>IF(VLOOKUP(D213,'Pre-Assessment Estimator'!$E$11:$Z$224,'Pre-Assessment Estimator'!$U$2,FALSE)&gt;AA213,AA213,VLOOKUP(D213,'Pre-Assessment Estimator'!$E$11:$Z$224,'Pre-Assessment Estimator'!$U$2,FALSE))</f>
        <v>0</v>
      </c>
      <c r="AL213" s="863"/>
      <c r="AM213" s="864"/>
      <c r="AN213" s="864"/>
      <c r="AO213" s="864"/>
      <c r="AP213" s="856"/>
      <c r="AQ213" s="139"/>
      <c r="AR213" s="863"/>
      <c r="AS213" s="864"/>
      <c r="AT213" s="864"/>
      <c r="AU213" s="864"/>
      <c r="AV213" s="856"/>
      <c r="AX213" s="742"/>
      <c r="AY213" s="744"/>
      <c r="AZ213" s="744"/>
      <c r="BA213" s="744"/>
      <c r="BB213" s="865"/>
      <c r="BC213" s="182">
        <f t="shared" si="458"/>
        <v>9</v>
      </c>
      <c r="BD213" s="164" t="str">
        <f t="shared" si="538"/>
        <v>N/A</v>
      </c>
      <c r="BE213" s="185"/>
      <c r="BF213" s="182">
        <f t="shared" si="557"/>
        <v>9</v>
      </c>
      <c r="BG213" s="164" t="str">
        <f t="shared" si="539"/>
        <v>N/A</v>
      </c>
      <c r="BH213" s="185"/>
      <c r="BI213" s="182">
        <f t="shared" si="441"/>
        <v>9</v>
      </c>
      <c r="BJ213" s="164" t="str">
        <f t="shared" si="540"/>
        <v>N/A</v>
      </c>
      <c r="BK213" s="860"/>
      <c r="BN213" s="167"/>
      <c r="BO213" s="167"/>
      <c r="BP213" s="167" t="str">
        <f t="shared" si="548"/>
        <v/>
      </c>
      <c r="BQ213" s="167">
        <f t="shared" si="393"/>
        <v>9</v>
      </c>
      <c r="BR213" s="167">
        <f t="shared" si="394"/>
        <v>9</v>
      </c>
      <c r="BS213" s="167">
        <f t="shared" si="395"/>
        <v>9</v>
      </c>
      <c r="BV213" s="314"/>
      <c r="BW213" s="314"/>
      <c r="BX213" s="866"/>
      <c r="BY213" s="314"/>
      <c r="BZ213" s="688"/>
      <c r="CA213" s="314"/>
      <c r="CD213" s="99"/>
      <c r="CF213" s="689"/>
    </row>
    <row r="214" spans="1:84" ht="15.75" thickBot="1" x14ac:dyDescent="0.3">
      <c r="A214" s="96">
        <v>206</v>
      </c>
      <c r="B214" s="96" t="s">
        <v>894</v>
      </c>
      <c r="C214" s="722"/>
      <c r="D214" s="721" t="s">
        <v>216</v>
      </c>
      <c r="E214" s="787">
        <f t="shared" ref="E214:Q214" si="558">E200+E204+E208+E211</f>
        <v>7</v>
      </c>
      <c r="F214" s="787">
        <f t="shared" si="558"/>
        <v>7</v>
      </c>
      <c r="G214" s="787">
        <f t="shared" si="558"/>
        <v>6</v>
      </c>
      <c r="H214" s="787">
        <f t="shared" si="558"/>
        <v>7</v>
      </c>
      <c r="I214" s="787">
        <f t="shared" si="558"/>
        <v>7</v>
      </c>
      <c r="J214" s="787">
        <f t="shared" si="558"/>
        <v>7</v>
      </c>
      <c r="K214" s="787">
        <f t="shared" si="558"/>
        <v>7</v>
      </c>
      <c r="L214" s="787">
        <f t="shared" si="558"/>
        <v>7</v>
      </c>
      <c r="M214" s="787">
        <f t="shared" si="558"/>
        <v>7</v>
      </c>
      <c r="N214" s="787">
        <f t="shared" si="558"/>
        <v>7</v>
      </c>
      <c r="O214" s="787">
        <f t="shared" si="558"/>
        <v>7</v>
      </c>
      <c r="P214" s="787">
        <f t="shared" ref="P214" si="559">P200+P204+P208+P211</f>
        <v>7</v>
      </c>
      <c r="Q214" s="787">
        <f t="shared" si="558"/>
        <v>7</v>
      </c>
      <c r="S214" s="226">
        <f t="shared" si="551"/>
        <v>7</v>
      </c>
      <c r="T214" s="204"/>
      <c r="U214" s="206"/>
      <c r="V214" s="207"/>
      <c r="W214" s="1119"/>
      <c r="X214" s="1178"/>
      <c r="Y214" s="206"/>
      <c r="Z214" s="787">
        <f>Z200+Z204+Z208+Z211</f>
        <v>0</v>
      </c>
      <c r="AA214" s="787">
        <f>AA200+AA204+AA208+AA211</f>
        <v>7</v>
      </c>
      <c r="AC214" s="208">
        <f>AC200+AC204+AC208+AC211</f>
        <v>0.04</v>
      </c>
      <c r="AD214" s="208">
        <f>AD200+AD204+AD208+AD211</f>
        <v>0</v>
      </c>
      <c r="AE214" s="208">
        <f>AE200+AE204+AE208+AE211</f>
        <v>0</v>
      </c>
      <c r="AF214" s="208">
        <f>AF200+AF204+AF208+AF211</f>
        <v>0</v>
      </c>
      <c r="AH214" s="44">
        <f>AH200+AH204+AH208+AH211</f>
        <v>0</v>
      </c>
      <c r="AI214" s="44">
        <f>AI200+AI204+AI208+AI211</f>
        <v>0</v>
      </c>
      <c r="AJ214" s="44">
        <f>AJ200+AJ204+AJ208+AJ211</f>
        <v>0</v>
      </c>
      <c r="AL214" s="139"/>
      <c r="AM214" s="139"/>
      <c r="AN214" s="139"/>
      <c r="AO214" s="139"/>
      <c r="AP214" s="139"/>
      <c r="AQ214" s="139"/>
      <c r="AR214" s="139"/>
      <c r="AS214" s="139"/>
      <c r="AT214" s="139"/>
      <c r="AU214" s="139"/>
      <c r="AV214" s="139"/>
      <c r="AX214" s="97"/>
      <c r="AY214" s="209"/>
      <c r="AZ214" s="97"/>
      <c r="BA214" s="97"/>
      <c r="BB214" s="97"/>
      <c r="BV214" s="202"/>
      <c r="BW214" s="202" t="str">
        <f>IFERROR(VLOOKUP($D214,'Pre-Assessment Estimator'!$E$11:$AB$224,'Pre-Assessment Estimator'!AB$2,FALSE),"")</f>
        <v/>
      </c>
      <c r="BX214" s="202" t="str">
        <f>IFERROR(VLOOKUP($D214,'Pre-Assessment Estimator'!$E$11:$AI$224,'Pre-Assessment Estimator'!AI$2,FALSE),"")</f>
        <v/>
      </c>
      <c r="BY214" s="202" t="str">
        <f t="shared" ref="BY214:BY225" si="560">IFERROR(VLOOKUP($BW214,$D$291:$G$324,E$289,FALSE),"")</f>
        <v/>
      </c>
      <c r="BZ214" s="202" t="str">
        <f t="shared" ref="BZ214:BZ225" si="561">IFERROR(VLOOKUP($BW214,$D$291:$G$324,F$289,FALSE),"")</f>
        <v/>
      </c>
      <c r="CA214" s="202"/>
      <c r="CB214" s="96" t="str">
        <f t="shared" ref="CB214:CB225" si="562">IFERROR(VLOOKUP($BW214,$D$291:$G$324,H$289,FALSE),"")</f>
        <v/>
      </c>
    </row>
    <row r="215" spans="1:84" ht="15.75" thickBot="1" x14ac:dyDescent="0.3">
      <c r="A215" s="96">
        <v>207</v>
      </c>
      <c r="AH215" s="3"/>
      <c r="AI215" s="3"/>
      <c r="AJ215" s="3"/>
      <c r="AL215" s="139"/>
      <c r="AM215" s="139"/>
      <c r="AN215" s="139"/>
      <c r="AO215" s="139"/>
      <c r="AP215" s="139"/>
      <c r="AQ215" s="139"/>
      <c r="AR215" s="139"/>
      <c r="AS215" s="139"/>
      <c r="AT215" s="139"/>
      <c r="AU215" s="139"/>
      <c r="AV215" s="139"/>
      <c r="AX215" s="97"/>
      <c r="AY215" s="97"/>
      <c r="AZ215" s="97"/>
      <c r="BA215" s="97"/>
      <c r="BB215" s="97"/>
      <c r="BW215" s="96" t="str">
        <f>IFERROR(VLOOKUP($D215,'Pre-Assessment Estimator'!$E$11:$AB$224,'Pre-Assessment Estimator'!AB$2,FALSE),"")</f>
        <v/>
      </c>
      <c r="BX215" s="96" t="str">
        <f>IFERROR(VLOOKUP($D215,'Pre-Assessment Estimator'!$E$11:$AI$224,'Pre-Assessment Estimator'!AI$2,FALSE),"")</f>
        <v/>
      </c>
      <c r="BY215" s="96" t="str">
        <f t="shared" si="560"/>
        <v/>
      </c>
      <c r="BZ215" s="96" t="str">
        <f t="shared" si="561"/>
        <v/>
      </c>
      <c r="CB215" s="96" t="str">
        <f t="shared" si="562"/>
        <v/>
      </c>
    </row>
    <row r="216" spans="1:84" ht="60.75" thickBot="1" x14ac:dyDescent="0.3">
      <c r="A216" s="96">
        <v>208</v>
      </c>
      <c r="C216" s="151"/>
      <c r="D216" s="152" t="s">
        <v>228</v>
      </c>
      <c r="E216" s="870" t="str">
        <f>$E$9</f>
        <v>Office</v>
      </c>
      <c r="F216" s="870" t="str">
        <f>$F$9</f>
        <v>Retail</v>
      </c>
      <c r="G216" s="870" t="str">
        <f>$G$9</f>
        <v>Residential</v>
      </c>
      <c r="H216" s="870" t="str">
        <f>$H$9</f>
        <v>Industrial</v>
      </c>
      <c r="I216" s="870" t="str">
        <f>$I$9</f>
        <v>Healthcare</v>
      </c>
      <c r="J216" s="870" t="str">
        <f>$J$9</f>
        <v>Prison</v>
      </c>
      <c r="K216" s="870" t="str">
        <f>$K$9</f>
        <v>Law Court</v>
      </c>
      <c r="L216" s="870" t="str">
        <f>$L$9</f>
        <v>Residential institution (long term stay)</v>
      </c>
      <c r="M216" s="870" t="str">
        <f>$M$9</f>
        <v>Residential institution (short term stay)</v>
      </c>
      <c r="N216" s="870" t="str">
        <f>$N$9</f>
        <v>Non-residential institution</v>
      </c>
      <c r="O216" s="870" t="str">
        <f>$O$9</f>
        <v>Assembly and leisure</v>
      </c>
      <c r="P216" s="779" t="str">
        <f>$P$9</f>
        <v>Education</v>
      </c>
      <c r="Q216" s="871" t="str">
        <f>$Q$9</f>
        <v>Other</v>
      </c>
      <c r="S216" s="138" t="str">
        <f>$D$6</f>
        <v>Office</v>
      </c>
      <c r="T216" s="210"/>
      <c r="U216" s="211"/>
      <c r="V216" s="211"/>
      <c r="W216" s="1180"/>
      <c r="X216" s="1194" t="s">
        <v>414</v>
      </c>
      <c r="Y216" s="1192" t="s">
        <v>337</v>
      </c>
      <c r="Z216" s="150" t="s">
        <v>216</v>
      </c>
      <c r="AA216" s="59" t="s">
        <v>16</v>
      </c>
      <c r="AH216" s="42"/>
      <c r="AI216" s="60"/>
      <c r="AJ216" s="60"/>
      <c r="AL216" s="139"/>
      <c r="AM216" s="139"/>
      <c r="AN216" s="139"/>
      <c r="AO216" s="139"/>
      <c r="AP216" s="139"/>
      <c r="AQ216" s="139"/>
      <c r="AR216" s="139"/>
      <c r="AS216" s="139"/>
      <c r="AT216" s="139"/>
      <c r="AU216" s="139"/>
      <c r="AV216" s="139"/>
      <c r="AX216" s="97"/>
      <c r="AY216" s="97"/>
      <c r="AZ216" s="97"/>
      <c r="BA216" s="97"/>
      <c r="BB216" s="97"/>
      <c r="BN216" s="60"/>
      <c r="BO216" s="60"/>
      <c r="BP216" s="60"/>
      <c r="BQ216" s="60"/>
      <c r="BR216" s="60"/>
      <c r="BS216" s="60"/>
      <c r="BV216" s="146"/>
      <c r="BW216" s="146" t="str">
        <f>D216</f>
        <v>BREEAM innovation credits</v>
      </c>
      <c r="BX216" s="146" t="str">
        <f>IFERROR(VLOOKUP($D216,'Pre-Assessment Estimator'!$E$11:$AI$224,'Pre-Assessment Estimator'!AI$2,FALSE),"")</f>
        <v/>
      </c>
      <c r="BY216" s="146" t="str">
        <f t="shared" si="560"/>
        <v/>
      </c>
      <c r="BZ216" s="146" t="str">
        <f t="shared" si="561"/>
        <v/>
      </c>
      <c r="CA216" s="146"/>
      <c r="CB216" s="96" t="str">
        <f t="shared" si="562"/>
        <v/>
      </c>
    </row>
    <row r="217" spans="1:84" x14ac:dyDescent="0.25">
      <c r="A217" s="96">
        <v>209</v>
      </c>
      <c r="B217" s="130" t="str">
        <f>C217</f>
        <v>Inn 01</v>
      </c>
      <c r="C217" s="313" t="s">
        <v>192</v>
      </c>
      <c r="D217" s="177" t="str">
        <f t="shared" ref="D217:D230" si="563">C217&amp;" - "&amp;D259</f>
        <v xml:space="preserve">Inn 01 - Man 03: Reduction of direct emissions from construction sites </v>
      </c>
      <c r="E217" s="967">
        <v>1</v>
      </c>
      <c r="F217" s="967">
        <v>1</v>
      </c>
      <c r="G217" s="967">
        <v>1</v>
      </c>
      <c r="H217" s="967">
        <v>1</v>
      </c>
      <c r="I217" s="967">
        <v>1</v>
      </c>
      <c r="J217" s="967">
        <v>1</v>
      </c>
      <c r="K217" s="967">
        <v>1</v>
      </c>
      <c r="L217" s="967">
        <v>1</v>
      </c>
      <c r="M217" s="967">
        <v>1</v>
      </c>
      <c r="N217" s="967">
        <v>1</v>
      </c>
      <c r="O217" s="967">
        <v>1</v>
      </c>
      <c r="P217" s="1144">
        <v>1</v>
      </c>
      <c r="Q217" s="1144">
        <v>1</v>
      </c>
      <c r="S217" s="212">
        <f t="shared" ref="S217:S231" si="564">HLOOKUP($D$6,$E$9:$Q$231,$A217,FALSE)</f>
        <v>1</v>
      </c>
      <c r="T217" s="166"/>
      <c r="U217" s="167"/>
      <c r="V217" s="167"/>
      <c r="W217" s="168">
        <f>'Manuell filtrering og justering'!E94</f>
        <v>0</v>
      </c>
      <c r="X217" s="169"/>
      <c r="Y217" s="1175">
        <f>VLOOKUP(B217,'Manuell filtrering og justering'!$A$7:$H$253,'Manuell filtrering og justering'!$H$1,FALSE)</f>
        <v>1</v>
      </c>
      <c r="Z217" s="169">
        <f t="shared" ref="Z217:Z230" si="565">IF(SUM(T217:X217)&gt;S217,S217,SUM(T217:X217))</f>
        <v>0</v>
      </c>
      <c r="AA217" s="170">
        <f>IF($AB$5='Manuell filtrering og justering'!$J$2,Y217,(S217-Z217))</f>
        <v>1</v>
      </c>
      <c r="AC217" s="171">
        <f>(Inn_Weight/Inn_Credits)*Inn01_credits</f>
        <v>0.01</v>
      </c>
      <c r="AD217" s="171">
        <f t="shared" ref="AD217:AD230" si="566">IF(AA217=0,0,(AC217/AA217)*AH217)</f>
        <v>0</v>
      </c>
      <c r="AE217" s="171">
        <f t="shared" ref="AE217:AE230" si="567">IF(AA217=0,0,(AC217/AA217)*AI217)</f>
        <v>0</v>
      </c>
      <c r="AF217" s="171">
        <f t="shared" ref="AF217:AF230" si="568">IF(AA217=0,0,(AC217/AA217)*AJ217)</f>
        <v>0</v>
      </c>
      <c r="AH217" s="214">
        <f>IF(VLOOKUP(D217,'Pre-Assessment Estimator'!$E$11:$Z$224,'Pre-Assessment Estimator'!$G$2,FALSE)&gt;AA217,AA217,VLOOKUP(D217,'Pre-Assessment Estimator'!$E$11:$Z$224,'Pre-Assessment Estimator'!$G$2,FALSE))</f>
        <v>0</v>
      </c>
      <c r="AI217" s="172">
        <f>IF(VLOOKUP(D217,'Pre-Assessment Estimator'!$E$11:$Z$224,'Pre-Assessment Estimator'!$N$2,FALSE)&gt;AA217,AA217,VLOOKUP(D217,'Pre-Assessment Estimator'!$E$11:$Z$224,'Pre-Assessment Estimator'!$N$2,FALSE))</f>
        <v>0</v>
      </c>
      <c r="AJ217" s="172">
        <f>IF(VLOOKUP(D217,'Pre-Assessment Estimator'!$E$11:$Z$224,'Pre-Assessment Estimator'!$U$2,FALSE)&gt;AA217,AA217,VLOOKUP(D217,'Pre-Assessment Estimator'!$E$11:$Z$224,'Pre-Assessment Estimator'!$U$2,FALSE))</f>
        <v>0</v>
      </c>
      <c r="AL217" s="298"/>
      <c r="AM217" s="299"/>
      <c r="AN217" s="299"/>
      <c r="AO217" s="299"/>
      <c r="AP217" s="732"/>
      <c r="AQ217" s="139"/>
      <c r="AR217" s="298"/>
      <c r="AS217" s="299"/>
      <c r="AT217" s="299"/>
      <c r="AU217" s="299"/>
      <c r="AV217" s="300"/>
      <c r="AX217" s="218"/>
      <c r="AY217" s="219"/>
      <c r="AZ217" s="219"/>
      <c r="BA217" s="219"/>
      <c r="BB217" s="727">
        <f t="shared" si="537"/>
        <v>0</v>
      </c>
      <c r="BC217" s="174">
        <f t="shared" si="458"/>
        <v>9</v>
      </c>
      <c r="BD217" s="164" t="str">
        <f t="shared" ref="BD217:BD230" si="569">VLOOKUP(BC217,$BN$282:$BS$288,6,FALSE)</f>
        <v>N/A</v>
      </c>
      <c r="BE217" s="178"/>
      <c r="BF217" s="174">
        <f t="shared" ref="BF217:BF225" si="570">IF(BB217=0,9,IF(AI217&gt;=BB217,5,IF(AI217&gt;=BA217,4,IF(AI217&gt;=AZ217,3,IF(AI217&gt;=AY217,2,IF(AI217&lt;AX217,0,1))))))</f>
        <v>9</v>
      </c>
      <c r="BG217" s="164" t="str">
        <f t="shared" ref="BG217:BG230" si="571">VLOOKUP(BF217,$BN$282:$BS$288,6,FALSE)</f>
        <v>N/A</v>
      </c>
      <c r="BH217" s="178"/>
      <c r="BI217" s="174">
        <f t="shared" si="441"/>
        <v>9</v>
      </c>
      <c r="BJ217" s="164" t="str">
        <f t="shared" ref="BJ217:BJ230" si="572">VLOOKUP(BI217,$BN$282:$BS$288,6,FALSE)</f>
        <v>N/A</v>
      </c>
      <c r="BK217" s="178"/>
      <c r="BN217" s="167"/>
      <c r="BO217" s="167"/>
      <c r="BP217" s="167" t="str">
        <f t="shared" si="548"/>
        <v/>
      </c>
      <c r="BQ217" s="167">
        <f t="shared" si="393"/>
        <v>9</v>
      </c>
      <c r="BR217" s="167">
        <f t="shared" si="394"/>
        <v>9</v>
      </c>
      <c r="BS217" s="167">
        <f t="shared" si="395"/>
        <v>9</v>
      </c>
      <c r="BV217" s="164" t="str">
        <f t="shared" ref="BV217:BV225" si="573">C217</f>
        <v>Inn 01</v>
      </c>
      <c r="BW217" s="164" t="str">
        <f>IFERROR(VLOOKUP($D217,'Pre-Assessment Estimator'!$E$11:$AB$224,'Pre-Assessment Estimator'!AB$2,FALSE),"")</f>
        <v>N/A</v>
      </c>
      <c r="BX217" s="164">
        <f>IFERROR(VLOOKUP($D217,'Pre-Assessment Estimator'!$E$11:$AI$224,'Pre-Assessment Estimator'!AI$2,FALSE),"")</f>
        <v>0</v>
      </c>
      <c r="BY217" s="164">
        <f t="shared" si="560"/>
        <v>1</v>
      </c>
      <c r="BZ217" s="164">
        <f t="shared" si="561"/>
        <v>0</v>
      </c>
      <c r="CA217" s="164"/>
      <c r="CB217" s="96" t="str">
        <f t="shared" si="562"/>
        <v/>
      </c>
    </row>
    <row r="218" spans="1:84" x14ac:dyDescent="0.25">
      <c r="A218" s="96">
        <v>210</v>
      </c>
      <c r="B218" s="130" t="str">
        <f t="shared" ref="B218:B230" si="574">C218</f>
        <v>Inn 02</v>
      </c>
      <c r="C218" s="166" t="s">
        <v>193</v>
      </c>
      <c r="D218" s="1199" t="str">
        <f t="shared" si="563"/>
        <v xml:space="preserve">Inn 02 - Hea 01: View out, high level </v>
      </c>
      <c r="E218" s="788">
        <v>1</v>
      </c>
      <c r="F218" s="788">
        <v>1</v>
      </c>
      <c r="G218" s="788">
        <v>1</v>
      </c>
      <c r="H218" s="788">
        <v>1</v>
      </c>
      <c r="I218" s="788">
        <v>1</v>
      </c>
      <c r="J218" s="788">
        <v>1</v>
      </c>
      <c r="K218" s="788">
        <v>1</v>
      </c>
      <c r="L218" s="788">
        <v>1</v>
      </c>
      <c r="M218" s="788">
        <v>1</v>
      </c>
      <c r="N218" s="788">
        <v>1</v>
      </c>
      <c r="O218" s="788">
        <v>1</v>
      </c>
      <c r="P218" s="1145">
        <v>1</v>
      </c>
      <c r="Q218" s="1145">
        <v>1</v>
      </c>
      <c r="S218" s="221">
        <f t="shared" si="564"/>
        <v>1</v>
      </c>
      <c r="T218" s="166"/>
      <c r="U218" s="167"/>
      <c r="V218" s="167"/>
      <c r="W218" s="168">
        <f>'Manuell filtrering og justering'!E95</f>
        <v>0</v>
      </c>
      <c r="X218" s="169"/>
      <c r="Y218" s="1175">
        <f>VLOOKUP(B218,'Manuell filtrering og justering'!$A$7:$H$253,'Manuell filtrering og justering'!$H$1,FALSE)</f>
        <v>1</v>
      </c>
      <c r="Z218" s="169">
        <f t="shared" si="565"/>
        <v>0</v>
      </c>
      <c r="AA218" s="170">
        <f>IF($AB$5='Manuell filtrering og justering'!$J$2,Y218,(S218-Z218))</f>
        <v>1</v>
      </c>
      <c r="AC218" s="171">
        <f>(Inn_Weight/Inn_Credits)*Inn02_credits</f>
        <v>0.01</v>
      </c>
      <c r="AD218" s="171">
        <f t="shared" si="566"/>
        <v>0</v>
      </c>
      <c r="AE218" s="171">
        <f t="shared" si="567"/>
        <v>0</v>
      </c>
      <c r="AF218" s="171">
        <f t="shared" si="568"/>
        <v>0</v>
      </c>
      <c r="AH218" s="214">
        <f>IF(VLOOKUP(D218,'Pre-Assessment Estimator'!$E$11:$Z$224,'Pre-Assessment Estimator'!$G$2,FALSE)&gt;AA218,AA218,VLOOKUP(D218,'Pre-Assessment Estimator'!$E$11:$Z$224,'Pre-Assessment Estimator'!$G$2,FALSE))</f>
        <v>0</v>
      </c>
      <c r="AI218" s="172">
        <f>IF(VLOOKUP(D218,'Pre-Assessment Estimator'!$E$11:$Z$224,'Pre-Assessment Estimator'!$N$2,FALSE)&gt;AA218,AA218,VLOOKUP(D218,'Pre-Assessment Estimator'!$E$11:$Z$224,'Pre-Assessment Estimator'!$N$2,FALSE))</f>
        <v>0</v>
      </c>
      <c r="AJ218" s="172">
        <f>IF(VLOOKUP(D218,'Pre-Assessment Estimator'!$E$11:$Z$224,'Pre-Assessment Estimator'!$U$2,FALSE)&gt;AA218,AA218,VLOOKUP(D218,'Pre-Assessment Estimator'!$E$11:$Z$224,'Pre-Assessment Estimator'!$U$2,FALSE))</f>
        <v>0</v>
      </c>
      <c r="AL218" s="292"/>
      <c r="AM218" s="293"/>
      <c r="AN218" s="293"/>
      <c r="AO218" s="293"/>
      <c r="AP218" s="733"/>
      <c r="AQ218" s="139"/>
      <c r="AR218" s="292"/>
      <c r="AS218" s="293"/>
      <c r="AT218" s="293"/>
      <c r="AU218" s="293"/>
      <c r="AV218" s="294"/>
      <c r="AX218" s="188"/>
      <c r="AY218" s="189"/>
      <c r="AZ218" s="189"/>
      <c r="BA218" s="189"/>
      <c r="BB218" s="728">
        <f t="shared" si="537"/>
        <v>0</v>
      </c>
      <c r="BC218" s="182">
        <f t="shared" si="458"/>
        <v>9</v>
      </c>
      <c r="BD218" s="164" t="str">
        <f t="shared" si="569"/>
        <v>N/A</v>
      </c>
      <c r="BE218" s="185"/>
      <c r="BF218" s="182">
        <f t="shared" si="570"/>
        <v>9</v>
      </c>
      <c r="BG218" s="164" t="str">
        <f t="shared" si="571"/>
        <v>N/A</v>
      </c>
      <c r="BH218" s="185"/>
      <c r="BI218" s="182">
        <f t="shared" si="441"/>
        <v>9</v>
      </c>
      <c r="BJ218" s="164" t="str">
        <f t="shared" si="572"/>
        <v>N/A</v>
      </c>
      <c r="BK218" s="185"/>
      <c r="BN218" s="167"/>
      <c r="BO218" s="167"/>
      <c r="BP218" s="167" t="str">
        <f t="shared" si="548"/>
        <v/>
      </c>
      <c r="BQ218" s="167">
        <f t="shared" si="393"/>
        <v>9</v>
      </c>
      <c r="BR218" s="167">
        <f t="shared" si="394"/>
        <v>9</v>
      </c>
      <c r="BS218" s="167">
        <f t="shared" si="395"/>
        <v>9</v>
      </c>
      <c r="BV218" s="167" t="str">
        <f t="shared" si="573"/>
        <v>Inn 02</v>
      </c>
      <c r="BW218" s="167" t="str">
        <f>IFERROR(VLOOKUP($D218,'Pre-Assessment Estimator'!$E$11:$AB$224,'Pre-Assessment Estimator'!AB$2,FALSE),"")</f>
        <v>N/A</v>
      </c>
      <c r="BX218" s="167">
        <f>IFERROR(VLOOKUP($D218,'Pre-Assessment Estimator'!$E$11:$AI$224,'Pre-Assessment Estimator'!AI$2,FALSE),"")</f>
        <v>0</v>
      </c>
      <c r="BY218" s="167">
        <f t="shared" si="560"/>
        <v>1</v>
      </c>
      <c r="BZ218" s="167">
        <f t="shared" si="561"/>
        <v>0</v>
      </c>
      <c r="CA218" s="167"/>
      <c r="CB218" s="96" t="str">
        <f t="shared" si="562"/>
        <v/>
      </c>
    </row>
    <row r="219" spans="1:84" x14ac:dyDescent="0.25">
      <c r="A219" s="96">
        <v>211</v>
      </c>
      <c r="B219" s="130" t="str">
        <f t="shared" si="574"/>
        <v>Inn 03</v>
      </c>
      <c r="C219" s="166" t="s">
        <v>194</v>
      </c>
      <c r="D219" s="167" t="str">
        <f t="shared" si="563"/>
        <v xml:space="preserve">Inn 03 - Hea 02: Emissions from construction products  </v>
      </c>
      <c r="E219" s="788">
        <v>1</v>
      </c>
      <c r="F219" s="788">
        <v>1</v>
      </c>
      <c r="G219" s="788">
        <v>1</v>
      </c>
      <c r="H219" s="788">
        <v>1</v>
      </c>
      <c r="I219" s="788">
        <v>1</v>
      </c>
      <c r="J219" s="788">
        <v>1</v>
      </c>
      <c r="K219" s="788">
        <v>1</v>
      </c>
      <c r="L219" s="788">
        <v>1</v>
      </c>
      <c r="M219" s="788">
        <v>1</v>
      </c>
      <c r="N219" s="788">
        <v>1</v>
      </c>
      <c r="O219" s="788">
        <v>1</v>
      </c>
      <c r="P219" s="1145">
        <v>1</v>
      </c>
      <c r="Q219" s="1145">
        <v>1</v>
      </c>
      <c r="S219" s="221">
        <f t="shared" si="564"/>
        <v>1</v>
      </c>
      <c r="T219" s="166">
        <f>IF(Hea02_credits=0,S219,0)</f>
        <v>0</v>
      </c>
      <c r="U219" s="167"/>
      <c r="V219" s="167"/>
      <c r="W219" s="168">
        <f>'Manuell filtrering og justering'!E96</f>
        <v>0</v>
      </c>
      <c r="X219" s="169">
        <f>IF($X$4=$X$6,S219,0)</f>
        <v>0</v>
      </c>
      <c r="Y219" s="1175">
        <f>VLOOKUP(B219,'Manuell filtrering og justering'!$A$7:$H$253,'Manuell filtrering og justering'!$H$1,FALSE)</f>
        <v>1</v>
      </c>
      <c r="Z219" s="169">
        <f t="shared" si="565"/>
        <v>0</v>
      </c>
      <c r="AA219" s="170">
        <f>IF($AB$5='Manuell filtrering og justering'!$J$2,Y219,(S219-Z219))</f>
        <v>1</v>
      </c>
      <c r="AC219" s="171">
        <f>(Inn_Weight/Inn_Credits)*Inn03_credits</f>
        <v>0.01</v>
      </c>
      <c r="AD219" s="171">
        <f t="shared" si="566"/>
        <v>0</v>
      </c>
      <c r="AE219" s="171">
        <f t="shared" si="567"/>
        <v>0</v>
      </c>
      <c r="AF219" s="171">
        <f t="shared" si="568"/>
        <v>0</v>
      </c>
      <c r="AH219" s="214">
        <f>IF(VLOOKUP(D219,'Pre-Assessment Estimator'!$E$11:$Z$224,'Pre-Assessment Estimator'!$G$2,FALSE)&gt;AA219,AA219,VLOOKUP(D219,'Pre-Assessment Estimator'!$E$11:$Z$224,'Pre-Assessment Estimator'!$G$2,FALSE))</f>
        <v>0</v>
      </c>
      <c r="AI219" s="172">
        <f>IF(VLOOKUP(D219,'Pre-Assessment Estimator'!$E$11:$Z$224,'Pre-Assessment Estimator'!$N$2,FALSE)&gt;AA219,AA219,VLOOKUP(D219,'Pre-Assessment Estimator'!$E$11:$Z$224,'Pre-Assessment Estimator'!$N$2,FALSE))</f>
        <v>0</v>
      </c>
      <c r="AJ219" s="172">
        <f>IF(VLOOKUP(D219,'Pre-Assessment Estimator'!$E$11:$Z$224,'Pre-Assessment Estimator'!$U$2,FALSE)&gt;AA219,AA219,VLOOKUP(D219,'Pre-Assessment Estimator'!$E$11:$Z$224,'Pre-Assessment Estimator'!$U$2,FALSE))</f>
        <v>0</v>
      </c>
      <c r="AL219" s="292"/>
      <c r="AM219" s="293"/>
      <c r="AN219" s="293"/>
      <c r="AO219" s="293"/>
      <c r="AP219" s="733"/>
      <c r="AQ219" s="139"/>
      <c r="AR219" s="292"/>
      <c r="AS219" s="293"/>
      <c r="AT219" s="293"/>
      <c r="AU219" s="293"/>
      <c r="AV219" s="294"/>
      <c r="AX219" s="188"/>
      <c r="AY219" s="189"/>
      <c r="AZ219" s="189"/>
      <c r="BA219" s="189"/>
      <c r="BB219" s="728">
        <f t="shared" si="537"/>
        <v>0</v>
      </c>
      <c r="BC219" s="182">
        <f t="shared" si="458"/>
        <v>9</v>
      </c>
      <c r="BD219" s="164" t="str">
        <f t="shared" si="569"/>
        <v>N/A</v>
      </c>
      <c r="BE219" s="185"/>
      <c r="BF219" s="182">
        <f t="shared" si="570"/>
        <v>9</v>
      </c>
      <c r="BG219" s="164" t="str">
        <f t="shared" si="571"/>
        <v>N/A</v>
      </c>
      <c r="BH219" s="185"/>
      <c r="BI219" s="182">
        <f t="shared" si="441"/>
        <v>9</v>
      </c>
      <c r="BJ219" s="164" t="str">
        <f t="shared" si="572"/>
        <v>N/A</v>
      </c>
      <c r="BK219" s="185"/>
      <c r="BN219" s="167"/>
      <c r="BO219" s="167"/>
      <c r="BP219" s="167" t="str">
        <f t="shared" si="548"/>
        <v/>
      </c>
      <c r="BQ219" s="167">
        <f t="shared" si="393"/>
        <v>9</v>
      </c>
      <c r="BR219" s="167">
        <f t="shared" si="394"/>
        <v>9</v>
      </c>
      <c r="BS219" s="167">
        <f t="shared" si="395"/>
        <v>9</v>
      </c>
      <c r="BV219" s="167" t="str">
        <f t="shared" si="573"/>
        <v>Inn 03</v>
      </c>
      <c r="BW219" s="167" t="str">
        <f>IFERROR(VLOOKUP($D219,'Pre-Assessment Estimator'!$E$11:$AB$224,'Pre-Assessment Estimator'!AB$2,FALSE),"")</f>
        <v>N/A</v>
      </c>
      <c r="BX219" s="167">
        <f>IFERROR(VLOOKUP($D219,'Pre-Assessment Estimator'!$E$11:$AI$224,'Pre-Assessment Estimator'!AI$2,FALSE),"")</f>
        <v>0</v>
      </c>
      <c r="BY219" s="167">
        <f t="shared" si="560"/>
        <v>1</v>
      </c>
      <c r="BZ219" s="167">
        <f t="shared" si="561"/>
        <v>0</v>
      </c>
      <c r="CA219" s="167"/>
      <c r="CB219" s="96" t="str">
        <f t="shared" si="562"/>
        <v/>
      </c>
    </row>
    <row r="220" spans="1:84" x14ac:dyDescent="0.25">
      <c r="A220" s="96">
        <v>212</v>
      </c>
      <c r="B220" s="130" t="str">
        <f t="shared" si="574"/>
        <v>Inn 04</v>
      </c>
      <c r="C220" s="166" t="s">
        <v>195</v>
      </c>
      <c r="D220" s="167" t="str">
        <f t="shared" si="563"/>
        <v xml:space="preserve">Inn 04 - Hea 06: Biofilik design </v>
      </c>
      <c r="E220" s="788">
        <v>1</v>
      </c>
      <c r="F220" s="788">
        <v>1</v>
      </c>
      <c r="G220" s="788">
        <v>1</v>
      </c>
      <c r="H220" s="788">
        <v>1</v>
      </c>
      <c r="I220" s="788">
        <v>1</v>
      </c>
      <c r="J220" s="788">
        <v>1</v>
      </c>
      <c r="K220" s="788">
        <v>1</v>
      </c>
      <c r="L220" s="788">
        <v>1</v>
      </c>
      <c r="M220" s="788">
        <v>1</v>
      </c>
      <c r="N220" s="788">
        <v>1</v>
      </c>
      <c r="O220" s="788">
        <v>1</v>
      </c>
      <c r="P220" s="1145">
        <v>1</v>
      </c>
      <c r="Q220" s="1145">
        <v>1</v>
      </c>
      <c r="S220" s="221">
        <f t="shared" si="564"/>
        <v>1</v>
      </c>
      <c r="T220" s="166"/>
      <c r="U220" s="167"/>
      <c r="V220" s="167"/>
      <c r="W220" s="168">
        <f>'Manuell filtrering og justering'!E97</f>
        <v>0</v>
      </c>
      <c r="X220" s="169">
        <f>IF(OR($X$4=$X$5,$X$4=$X$6),S220,0)</f>
        <v>0</v>
      </c>
      <c r="Y220" s="1175">
        <f>VLOOKUP(B220,'Manuell filtrering og justering'!$A$7:$H$253,'Manuell filtrering og justering'!$H$1,FALSE)</f>
        <v>1</v>
      </c>
      <c r="Z220" s="169">
        <f t="shared" si="565"/>
        <v>0</v>
      </c>
      <c r="AA220" s="170">
        <f>IF($AB$5='Manuell filtrering og justering'!$J$2,Y220,(S220-Z220))</f>
        <v>1</v>
      </c>
      <c r="AC220" s="171">
        <f>(Inn_Weight/Inn_Credits)*Inn04_credits</f>
        <v>0.01</v>
      </c>
      <c r="AD220" s="171">
        <f t="shared" si="566"/>
        <v>0</v>
      </c>
      <c r="AE220" s="171">
        <f t="shared" si="567"/>
        <v>0</v>
      </c>
      <c r="AF220" s="171">
        <f t="shared" si="568"/>
        <v>0</v>
      </c>
      <c r="AH220" s="214">
        <f>IF(VLOOKUP(D220,'Pre-Assessment Estimator'!$E$11:$Z$224,'Pre-Assessment Estimator'!$G$2,FALSE)&gt;AA220,AA220,VLOOKUP(D220,'Pre-Assessment Estimator'!$E$11:$Z$224,'Pre-Assessment Estimator'!$G$2,FALSE))</f>
        <v>0</v>
      </c>
      <c r="AI220" s="172">
        <f>IF(VLOOKUP(D220,'Pre-Assessment Estimator'!$E$11:$Z$224,'Pre-Assessment Estimator'!$N$2,FALSE)&gt;AA220,AA220,VLOOKUP(D220,'Pre-Assessment Estimator'!$E$11:$Z$224,'Pre-Assessment Estimator'!$N$2,FALSE))</f>
        <v>0</v>
      </c>
      <c r="AJ220" s="172">
        <f>IF(VLOOKUP(D220,'Pre-Assessment Estimator'!$E$11:$Z$224,'Pre-Assessment Estimator'!$U$2,FALSE)&gt;AA220,AA220,VLOOKUP(D220,'Pre-Assessment Estimator'!$E$11:$Z$224,'Pre-Assessment Estimator'!$U$2,FALSE))</f>
        <v>0</v>
      </c>
      <c r="AL220" s="292"/>
      <c r="AM220" s="293"/>
      <c r="AN220" s="293"/>
      <c r="AO220" s="293"/>
      <c r="AP220" s="733"/>
      <c r="AQ220" s="139"/>
      <c r="AR220" s="292"/>
      <c r="AS220" s="293"/>
      <c r="AT220" s="293"/>
      <c r="AU220" s="293"/>
      <c r="AV220" s="294"/>
      <c r="AX220" s="188"/>
      <c r="AY220" s="189"/>
      <c r="AZ220" s="189"/>
      <c r="BA220" s="189"/>
      <c r="BB220" s="728">
        <f t="shared" si="537"/>
        <v>0</v>
      </c>
      <c r="BC220" s="182">
        <f t="shared" si="458"/>
        <v>9</v>
      </c>
      <c r="BD220" s="164" t="str">
        <f t="shared" si="569"/>
        <v>N/A</v>
      </c>
      <c r="BE220" s="185"/>
      <c r="BF220" s="182">
        <f t="shared" si="570"/>
        <v>9</v>
      </c>
      <c r="BG220" s="164" t="str">
        <f t="shared" si="571"/>
        <v>N/A</v>
      </c>
      <c r="BH220" s="185"/>
      <c r="BI220" s="182">
        <f t="shared" si="441"/>
        <v>9</v>
      </c>
      <c r="BJ220" s="164" t="str">
        <f t="shared" si="572"/>
        <v>N/A</v>
      </c>
      <c r="BK220" s="185"/>
      <c r="BN220" s="167"/>
      <c r="BO220" s="167"/>
      <c r="BP220" s="167" t="str">
        <f t="shared" si="548"/>
        <v/>
      </c>
      <c r="BQ220" s="167">
        <f t="shared" si="393"/>
        <v>9</v>
      </c>
      <c r="BR220" s="167">
        <f t="shared" si="394"/>
        <v>9</v>
      </c>
      <c r="BS220" s="167">
        <f t="shared" si="395"/>
        <v>9</v>
      </c>
      <c r="BV220" s="167" t="str">
        <f t="shared" si="573"/>
        <v>Inn 04</v>
      </c>
      <c r="BW220" s="167" t="str">
        <f>IFERROR(VLOOKUP($D220,'Pre-Assessment Estimator'!$E$11:$AB$224,'Pre-Assessment Estimator'!AB$2,FALSE),"")</f>
        <v>N/A</v>
      </c>
      <c r="BX220" s="167">
        <f>IFERROR(VLOOKUP($D220,'Pre-Assessment Estimator'!$E$11:$AI$224,'Pre-Assessment Estimator'!AI$2,FALSE),"")</f>
        <v>0</v>
      </c>
      <c r="BY220" s="167">
        <f t="shared" si="560"/>
        <v>1</v>
      </c>
      <c r="BZ220" s="167">
        <f t="shared" si="561"/>
        <v>0</v>
      </c>
      <c r="CA220" s="167"/>
      <c r="CB220" s="96" t="str">
        <f t="shared" si="562"/>
        <v/>
      </c>
    </row>
    <row r="221" spans="1:84" x14ac:dyDescent="0.25">
      <c r="A221" s="96">
        <v>213</v>
      </c>
      <c r="B221" s="130" t="str">
        <f t="shared" si="574"/>
        <v>Inn 05</v>
      </c>
      <c r="C221" s="166" t="s">
        <v>196</v>
      </c>
      <c r="D221" s="1147" t="str">
        <f t="shared" si="563"/>
        <v xml:space="preserve">Inn 05 - Ene 01: Post-occupancy stage </v>
      </c>
      <c r="E221" s="780">
        <v>2</v>
      </c>
      <c r="F221" s="780">
        <v>2</v>
      </c>
      <c r="G221" s="780">
        <v>2</v>
      </c>
      <c r="H221" s="780">
        <v>2</v>
      </c>
      <c r="I221" s="780">
        <v>2</v>
      </c>
      <c r="J221" s="780">
        <v>2</v>
      </c>
      <c r="K221" s="780">
        <v>2</v>
      </c>
      <c r="L221" s="780">
        <v>2</v>
      </c>
      <c r="M221" s="780">
        <v>2</v>
      </c>
      <c r="N221" s="780">
        <v>2</v>
      </c>
      <c r="O221" s="780">
        <v>2</v>
      </c>
      <c r="P221" s="781">
        <v>2</v>
      </c>
      <c r="Q221" s="781">
        <v>2</v>
      </c>
      <c r="S221" s="221">
        <f t="shared" si="564"/>
        <v>2</v>
      </c>
      <c r="T221" s="166"/>
      <c r="U221" s="167"/>
      <c r="V221" s="167"/>
      <c r="W221" s="168">
        <f>'Manuell filtrering og justering'!E98</f>
        <v>0</v>
      </c>
      <c r="X221" s="169">
        <f>IF($X$4=$X$6,S221,0)</f>
        <v>0</v>
      </c>
      <c r="Y221" s="1175">
        <f>VLOOKUP(B221,'Manuell filtrering og justering'!$A$7:$H$253,'Manuell filtrering og justering'!$H$1,FALSE)</f>
        <v>1</v>
      </c>
      <c r="Z221" s="169">
        <f t="shared" si="565"/>
        <v>0</v>
      </c>
      <c r="AA221" s="170">
        <f>IF($AB$5='Manuell filtrering og justering'!$J$2,Y221,(S221-Z221))</f>
        <v>2</v>
      </c>
      <c r="AC221" s="171">
        <f>(Inn_Weight/Inn_Credits)*Inn05_credits</f>
        <v>0.02</v>
      </c>
      <c r="AD221" s="171">
        <f t="shared" si="566"/>
        <v>0</v>
      </c>
      <c r="AE221" s="171">
        <f t="shared" si="567"/>
        <v>0</v>
      </c>
      <c r="AF221" s="171">
        <f t="shared" si="568"/>
        <v>0</v>
      </c>
      <c r="AH221" s="1085">
        <f>IF(OR(AH74&lt;&gt;AA74,Ene02_user&lt;&gt;Ene02_credits),0,IF(VLOOKUP(D221,'Pre-Assessment Estimator'!$E$11:$Z$224,'Pre-Assessment Estimator'!$G$2,FALSE)&gt;AA221,AA221,VLOOKUP(D221,'Pre-Assessment Estimator'!$E$11:$Z$224,'Pre-Assessment Estimator'!$G$2,FALSE)))</f>
        <v>0</v>
      </c>
      <c r="AI221" s="1082">
        <f>IF(OR(AI74&lt;&gt;AA74,AI75&lt;&gt;Ene02_credits),0,IF(VLOOKUP(D221,'Pre-Assessment Estimator'!$E$11:$Z$224,'Pre-Assessment Estimator'!$N$2,FALSE)&gt;AA221,AA221,VLOOKUP(D221,'Pre-Assessment Estimator'!$E$11:$Z$224,'Pre-Assessment Estimator'!$N$2,FALSE)))</f>
        <v>0</v>
      </c>
      <c r="AJ221" s="1082">
        <f>IF(OR(AJ74&lt;&gt;AA74,AJ75&lt;&gt;Ene02_credits),0,IF(VLOOKUP(D221,'Pre-Assessment Estimator'!$E$11:$Z$224,'Pre-Assessment Estimator'!$U$2,FALSE)&gt;AA221,AA221,VLOOKUP(D221,'Pre-Assessment Estimator'!$E$11:$Z$224,'Pre-Assessment Estimator'!$U$2,FALSE)))</f>
        <v>0</v>
      </c>
      <c r="AL221" s="292"/>
      <c r="AM221" s="293"/>
      <c r="AN221" s="293"/>
      <c r="AO221" s="293"/>
      <c r="AP221" s="733"/>
      <c r="AQ221" s="139"/>
      <c r="AR221" s="292"/>
      <c r="AS221" s="293"/>
      <c r="AT221" s="293"/>
      <c r="AU221" s="293"/>
      <c r="AV221" s="294"/>
      <c r="AX221" s="188"/>
      <c r="AY221" s="189"/>
      <c r="AZ221" s="189"/>
      <c r="BA221" s="189"/>
      <c r="BB221" s="728">
        <f t="shared" si="537"/>
        <v>0</v>
      </c>
      <c r="BC221" s="182">
        <f t="shared" si="458"/>
        <v>9</v>
      </c>
      <c r="BD221" s="164" t="str">
        <f t="shared" si="569"/>
        <v>N/A</v>
      </c>
      <c r="BE221" s="185"/>
      <c r="BF221" s="182">
        <f t="shared" si="570"/>
        <v>9</v>
      </c>
      <c r="BG221" s="164" t="str">
        <f t="shared" si="571"/>
        <v>N/A</v>
      </c>
      <c r="BH221" s="185"/>
      <c r="BI221" s="182">
        <f t="shared" si="441"/>
        <v>9</v>
      </c>
      <c r="BJ221" s="164" t="str">
        <f t="shared" si="572"/>
        <v>N/A</v>
      </c>
      <c r="BK221" s="185"/>
      <c r="BN221" s="167"/>
      <c r="BO221" s="167"/>
      <c r="BP221" s="167" t="str">
        <f t="shared" si="548"/>
        <v/>
      </c>
      <c r="BQ221" s="167">
        <f t="shared" si="393"/>
        <v>9</v>
      </c>
      <c r="BR221" s="167">
        <f t="shared" si="394"/>
        <v>9</v>
      </c>
      <c r="BS221" s="167">
        <f t="shared" si="395"/>
        <v>9</v>
      </c>
      <c r="BV221" s="167" t="str">
        <f t="shared" si="573"/>
        <v>Inn 05</v>
      </c>
      <c r="BW221" s="167" t="str">
        <f>IFERROR(VLOOKUP($D221,'Pre-Assessment Estimator'!$E$11:$AB$224,'Pre-Assessment Estimator'!AB$2,FALSE),"")</f>
        <v>N/A</v>
      </c>
      <c r="BX221" s="167">
        <f>IFERROR(VLOOKUP($D221,'Pre-Assessment Estimator'!$E$11:$AI$224,'Pre-Assessment Estimator'!AI$2,FALSE),"")</f>
        <v>0</v>
      </c>
      <c r="BY221" s="167">
        <f t="shared" si="560"/>
        <v>1</v>
      </c>
      <c r="BZ221" s="167">
        <f t="shared" si="561"/>
        <v>0</v>
      </c>
      <c r="CA221" s="167"/>
      <c r="CB221" s="96" t="str">
        <f t="shared" si="562"/>
        <v/>
      </c>
    </row>
    <row r="222" spans="1:84" x14ac:dyDescent="0.25">
      <c r="A222" s="96">
        <v>214</v>
      </c>
      <c r="B222" s="130" t="str">
        <f t="shared" si="574"/>
        <v>Inn 06</v>
      </c>
      <c r="C222" s="166" t="s">
        <v>197</v>
      </c>
      <c r="D222" s="1147" t="str">
        <f t="shared" si="563"/>
        <v xml:space="preserve">Inn 06 - Ene 01: Plus house </v>
      </c>
      <c r="E222" s="780">
        <v>1</v>
      </c>
      <c r="F222" s="780">
        <v>1</v>
      </c>
      <c r="G222" s="780">
        <v>1</v>
      </c>
      <c r="H222" s="780">
        <v>1</v>
      </c>
      <c r="I222" s="780">
        <v>1</v>
      </c>
      <c r="J222" s="780">
        <v>1</v>
      </c>
      <c r="K222" s="780">
        <v>1</v>
      </c>
      <c r="L222" s="780">
        <v>1</v>
      </c>
      <c r="M222" s="780">
        <v>1</v>
      </c>
      <c r="N222" s="780">
        <v>1</v>
      </c>
      <c r="O222" s="780">
        <v>1</v>
      </c>
      <c r="P222" s="781">
        <v>1</v>
      </c>
      <c r="Q222" s="781">
        <v>1</v>
      </c>
      <c r="S222" s="221">
        <f t="shared" si="564"/>
        <v>1</v>
      </c>
      <c r="T222" s="166"/>
      <c r="U222" s="167"/>
      <c r="V222" s="167"/>
      <c r="W222" s="168">
        <f>'Manuell filtrering og justering'!E99</f>
        <v>0</v>
      </c>
      <c r="X222" s="169">
        <f>IF($X$4=$X$6,S222,0)</f>
        <v>0</v>
      </c>
      <c r="Y222" s="1175">
        <f>VLOOKUP(B222,'Manuell filtrering og justering'!$A$7:$H$253,'Manuell filtrering og justering'!$H$1,FALSE)</f>
        <v>1</v>
      </c>
      <c r="Z222" s="169">
        <f t="shared" si="565"/>
        <v>0</v>
      </c>
      <c r="AA222" s="170">
        <f>IF($AB$5='Manuell filtrering og justering'!$J$2,Y222,(S222-Z222))</f>
        <v>1</v>
      </c>
      <c r="AC222" s="171">
        <f>(Inn_Weight/Inn_Credits)*Inn06_credits</f>
        <v>0.01</v>
      </c>
      <c r="AD222" s="171">
        <f t="shared" si="566"/>
        <v>0</v>
      </c>
      <c r="AE222" s="171">
        <f t="shared" si="567"/>
        <v>0</v>
      </c>
      <c r="AF222" s="171">
        <f t="shared" si="568"/>
        <v>0</v>
      </c>
      <c r="AH222" s="214">
        <f>IF(VLOOKUP(D222,'Pre-Assessment Estimator'!$E$11:$Z$224,'Pre-Assessment Estimator'!$G$2,FALSE)&gt;AA222,AA222,VLOOKUP(D222,'Pre-Assessment Estimator'!$E$11:$Z$224,'Pre-Assessment Estimator'!$G$2,FALSE))</f>
        <v>0</v>
      </c>
      <c r="AI222" s="172">
        <f>IF(VLOOKUP(D222,'Pre-Assessment Estimator'!$E$11:$Z$224,'Pre-Assessment Estimator'!$N$2,FALSE)&gt;AA222,AA222,VLOOKUP(D222,'Pre-Assessment Estimator'!$E$11:$Z$224,'Pre-Assessment Estimator'!$N$2,FALSE))</f>
        <v>0</v>
      </c>
      <c r="AJ222" s="172">
        <f>IF(VLOOKUP(D222,'Pre-Assessment Estimator'!$E$11:$Z$224,'Pre-Assessment Estimator'!$U$2,FALSE)&gt;AA222,AA222,VLOOKUP(D222,'Pre-Assessment Estimator'!$E$11:$Z$224,'Pre-Assessment Estimator'!$U$2,FALSE))</f>
        <v>0</v>
      </c>
      <c r="AL222" s="292"/>
      <c r="AM222" s="293"/>
      <c r="AN222" s="293"/>
      <c r="AO222" s="293"/>
      <c r="AP222" s="733"/>
      <c r="AQ222" s="139"/>
      <c r="AR222" s="292"/>
      <c r="AS222" s="293"/>
      <c r="AT222" s="293"/>
      <c r="AU222" s="293"/>
      <c r="AV222" s="294"/>
      <c r="AX222" s="188"/>
      <c r="AY222" s="189"/>
      <c r="AZ222" s="189"/>
      <c r="BA222" s="189"/>
      <c r="BB222" s="728">
        <f t="shared" si="537"/>
        <v>0</v>
      </c>
      <c r="BC222" s="182">
        <f t="shared" si="458"/>
        <v>9</v>
      </c>
      <c r="BD222" s="164" t="str">
        <f t="shared" si="569"/>
        <v>N/A</v>
      </c>
      <c r="BE222" s="185"/>
      <c r="BF222" s="182">
        <f t="shared" si="570"/>
        <v>9</v>
      </c>
      <c r="BG222" s="164" t="str">
        <f t="shared" si="571"/>
        <v>N/A</v>
      </c>
      <c r="BH222" s="185"/>
      <c r="BI222" s="182">
        <f t="shared" si="441"/>
        <v>9</v>
      </c>
      <c r="BJ222" s="164" t="str">
        <f t="shared" si="572"/>
        <v>N/A</v>
      </c>
      <c r="BK222" s="185"/>
      <c r="BN222" s="167"/>
      <c r="BO222" s="167"/>
      <c r="BP222" s="167" t="str">
        <f t="shared" si="548"/>
        <v/>
      </c>
      <c r="BQ222" s="167">
        <f t="shared" si="393"/>
        <v>9</v>
      </c>
      <c r="BR222" s="167">
        <f t="shared" si="394"/>
        <v>9</v>
      </c>
      <c r="BS222" s="167">
        <f t="shared" si="395"/>
        <v>9</v>
      </c>
      <c r="BV222" s="167" t="str">
        <f t="shared" si="573"/>
        <v>Inn 06</v>
      </c>
      <c r="BW222" s="167" t="str">
        <f>IFERROR(VLOOKUP($D222,'Pre-Assessment Estimator'!$E$11:$AB$224,'Pre-Assessment Estimator'!AB$2,FALSE),"")</f>
        <v>N/A</v>
      </c>
      <c r="BX222" s="167">
        <f>IFERROR(VLOOKUP($D222,'Pre-Assessment Estimator'!$E$11:$AI$224,'Pre-Assessment Estimator'!AI$2,FALSE),"")</f>
        <v>0</v>
      </c>
      <c r="BY222" s="167">
        <f t="shared" si="560"/>
        <v>1</v>
      </c>
      <c r="BZ222" s="167">
        <f t="shared" si="561"/>
        <v>0</v>
      </c>
      <c r="CA222" s="167"/>
      <c r="CB222" s="96" t="str">
        <f t="shared" si="562"/>
        <v/>
      </c>
    </row>
    <row r="223" spans="1:84" x14ac:dyDescent="0.25">
      <c r="A223" s="96">
        <v>215</v>
      </c>
      <c r="B223" s="130" t="str">
        <f t="shared" si="574"/>
        <v>Inn 07</v>
      </c>
      <c r="C223" s="166" t="s">
        <v>198</v>
      </c>
      <c r="D223" s="167" t="str">
        <f t="shared" si="563"/>
        <v>Inn 07 - Wat 01: Highly water efficient components</v>
      </c>
      <c r="E223" s="788">
        <v>1</v>
      </c>
      <c r="F223" s="788">
        <v>1</v>
      </c>
      <c r="G223" s="788">
        <v>1</v>
      </c>
      <c r="H223" s="788">
        <v>1</v>
      </c>
      <c r="I223" s="788">
        <v>1</v>
      </c>
      <c r="J223" s="788">
        <v>1</v>
      </c>
      <c r="K223" s="788">
        <v>1</v>
      </c>
      <c r="L223" s="788">
        <v>1</v>
      </c>
      <c r="M223" s="788">
        <v>1</v>
      </c>
      <c r="N223" s="788">
        <v>1</v>
      </c>
      <c r="O223" s="788">
        <v>1</v>
      </c>
      <c r="P223" s="1145">
        <v>1</v>
      </c>
      <c r="Q223" s="1145">
        <v>1</v>
      </c>
      <c r="S223" s="221">
        <f t="shared" si="564"/>
        <v>1</v>
      </c>
      <c r="T223" s="166"/>
      <c r="U223" s="167"/>
      <c r="V223" s="167"/>
      <c r="W223" s="168">
        <f>'Manuell filtrering og justering'!E100</f>
        <v>0</v>
      </c>
      <c r="X223" s="169"/>
      <c r="Y223" s="1175">
        <f>VLOOKUP(B223,'Manuell filtrering og justering'!$A$7:$H$253,'Manuell filtrering og justering'!$H$1,FALSE)</f>
        <v>1</v>
      </c>
      <c r="Z223" s="169">
        <f t="shared" si="565"/>
        <v>0</v>
      </c>
      <c r="AA223" s="170">
        <f>IF($AB$5='Manuell filtrering og justering'!$J$2,Y223,(S223-Z223))</f>
        <v>1</v>
      </c>
      <c r="AC223" s="171">
        <f>(Inn_Weight/Inn_Credits)*Inn07_credits</f>
        <v>0.01</v>
      </c>
      <c r="AD223" s="171">
        <f t="shared" si="566"/>
        <v>0</v>
      </c>
      <c r="AE223" s="171">
        <f t="shared" si="567"/>
        <v>0</v>
      </c>
      <c r="AF223" s="171">
        <f t="shared" si="568"/>
        <v>0</v>
      </c>
      <c r="AH223" s="214">
        <f>IF(VLOOKUP(D223,'Pre-Assessment Estimator'!$E$11:$Z$224,'Pre-Assessment Estimator'!$G$2,FALSE)&gt;AA223,AA223,VLOOKUP(D223,'Pre-Assessment Estimator'!$E$11:$Z$224,'Pre-Assessment Estimator'!$G$2,FALSE))</f>
        <v>0</v>
      </c>
      <c r="AI223" s="172">
        <f>IF(VLOOKUP(D223,'Pre-Assessment Estimator'!$E$11:$Z$224,'Pre-Assessment Estimator'!$N$2,FALSE)&gt;AA223,AA223,VLOOKUP(D223,'Pre-Assessment Estimator'!$E$11:$Z$224,'Pre-Assessment Estimator'!$N$2,FALSE))</f>
        <v>0</v>
      </c>
      <c r="AJ223" s="172">
        <f>IF(VLOOKUP(D223,'Pre-Assessment Estimator'!$E$11:$Z$224,'Pre-Assessment Estimator'!$U$2,FALSE)&gt;AA223,AA223,VLOOKUP(D223,'Pre-Assessment Estimator'!$E$11:$Z$224,'Pre-Assessment Estimator'!$U$2,FALSE))</f>
        <v>0</v>
      </c>
      <c r="AL223" s="292"/>
      <c r="AM223" s="293"/>
      <c r="AN223" s="293"/>
      <c r="AO223" s="293"/>
      <c r="AP223" s="733"/>
      <c r="AQ223" s="139"/>
      <c r="AR223" s="292"/>
      <c r="AS223" s="293"/>
      <c r="AT223" s="293"/>
      <c r="AU223" s="293"/>
      <c r="AV223" s="294"/>
      <c r="AX223" s="188"/>
      <c r="AY223" s="189"/>
      <c r="AZ223" s="189"/>
      <c r="BA223" s="189"/>
      <c r="BB223" s="728">
        <f t="shared" si="537"/>
        <v>0</v>
      </c>
      <c r="BC223" s="182">
        <f t="shared" si="458"/>
        <v>9</v>
      </c>
      <c r="BD223" s="164" t="str">
        <f t="shared" si="569"/>
        <v>N/A</v>
      </c>
      <c r="BE223" s="185"/>
      <c r="BF223" s="182">
        <f t="shared" si="570"/>
        <v>9</v>
      </c>
      <c r="BG223" s="164" t="str">
        <f t="shared" si="571"/>
        <v>N/A</v>
      </c>
      <c r="BH223" s="185"/>
      <c r="BI223" s="182">
        <f t="shared" si="441"/>
        <v>9</v>
      </c>
      <c r="BJ223" s="164" t="str">
        <f t="shared" si="572"/>
        <v>N/A</v>
      </c>
      <c r="BK223" s="185"/>
      <c r="BN223" s="167"/>
      <c r="BO223" s="167"/>
      <c r="BP223" s="167" t="str">
        <f t="shared" si="548"/>
        <v/>
      </c>
      <c r="BQ223" s="167">
        <f t="shared" ref="BQ223:BQ230" si="575">IF(BP223="",9,(IF(AH223&gt;=BP223,5,0)))</f>
        <v>9</v>
      </c>
      <c r="BR223" s="167">
        <f t="shared" ref="BR223:BR230" si="576">IF(BP223="",9,(IF(AI223&gt;=BP223,5,0)))</f>
        <v>9</v>
      </c>
      <c r="BS223" s="167">
        <f t="shared" ref="BS223:BS230" si="577">IF(BP223="",9,(IF(AJ223&gt;=BP223,5,0)))</f>
        <v>9</v>
      </c>
      <c r="BV223" s="167" t="str">
        <f t="shared" si="573"/>
        <v>Inn 07</v>
      </c>
      <c r="BW223" s="167" t="str">
        <f>IFERROR(VLOOKUP($D223,'Pre-Assessment Estimator'!$E$11:$AB$224,'Pre-Assessment Estimator'!AB$2,FALSE),"")</f>
        <v>N/A</v>
      </c>
      <c r="BX223" s="167">
        <f>IFERROR(VLOOKUP($D223,'Pre-Assessment Estimator'!$E$11:$AI$224,'Pre-Assessment Estimator'!AI$2,FALSE),"")</f>
        <v>0</v>
      </c>
      <c r="BY223" s="167">
        <f t="shared" si="560"/>
        <v>1</v>
      </c>
      <c r="BZ223" s="167">
        <f t="shared" si="561"/>
        <v>0</v>
      </c>
      <c r="CA223" s="167"/>
      <c r="CB223" s="96" t="str">
        <f t="shared" si="562"/>
        <v/>
      </c>
    </row>
    <row r="224" spans="1:84" x14ac:dyDescent="0.25">
      <c r="A224" s="96">
        <v>216</v>
      </c>
      <c r="B224" s="130" t="str">
        <f t="shared" si="574"/>
        <v>Inn 08</v>
      </c>
      <c r="C224" s="166" t="s">
        <v>226</v>
      </c>
      <c r="D224" s="167" t="str">
        <f t="shared" si="563"/>
        <v xml:space="preserve">Inn 08 - Mat 01: 60% reduction of greenhouse gas emission </v>
      </c>
      <c r="E224" s="788">
        <v>1</v>
      </c>
      <c r="F224" s="788">
        <v>1</v>
      </c>
      <c r="G224" s="788">
        <v>1</v>
      </c>
      <c r="H224" s="788">
        <v>1</v>
      </c>
      <c r="I224" s="788">
        <v>1</v>
      </c>
      <c r="J224" s="788">
        <v>1</v>
      </c>
      <c r="K224" s="788">
        <v>1</v>
      </c>
      <c r="L224" s="788">
        <v>1</v>
      </c>
      <c r="M224" s="788">
        <v>1</v>
      </c>
      <c r="N224" s="788">
        <v>1</v>
      </c>
      <c r="O224" s="788">
        <v>1</v>
      </c>
      <c r="P224" s="1145">
        <v>1</v>
      </c>
      <c r="Q224" s="1145">
        <v>1</v>
      </c>
      <c r="S224" s="221">
        <f t="shared" si="564"/>
        <v>1</v>
      </c>
      <c r="T224" s="166"/>
      <c r="U224" s="167"/>
      <c r="V224" s="167"/>
      <c r="W224" s="168">
        <f>'Manuell filtrering og justering'!E101</f>
        <v>0</v>
      </c>
      <c r="X224" s="169"/>
      <c r="Y224" s="1175">
        <f>VLOOKUP(B224,'Manuell filtrering og justering'!$A$7:$H$253,'Manuell filtrering og justering'!$H$1,FALSE)</f>
        <v>1</v>
      </c>
      <c r="Z224" s="169">
        <f t="shared" si="565"/>
        <v>0</v>
      </c>
      <c r="AA224" s="170">
        <f>IF($AB$5='Manuell filtrering og justering'!$J$2,Y224,(S224-Z224))</f>
        <v>1</v>
      </c>
      <c r="AC224" s="171">
        <f>(Inn_Weight/Inn_Credits)*Inn08_credits</f>
        <v>0.01</v>
      </c>
      <c r="AD224" s="171">
        <f t="shared" si="566"/>
        <v>0</v>
      </c>
      <c r="AE224" s="171">
        <f t="shared" si="567"/>
        <v>0</v>
      </c>
      <c r="AF224" s="171">
        <f t="shared" si="568"/>
        <v>0</v>
      </c>
      <c r="AH224" s="214">
        <f>IF(VLOOKUP(D224,'Pre-Assessment Estimator'!$E$11:$Z$224,'Pre-Assessment Estimator'!$G$2,FALSE)&gt;AA224,AA224,VLOOKUP(D224,'Pre-Assessment Estimator'!$E$11:$Z$224,'Pre-Assessment Estimator'!$G$2,FALSE))</f>
        <v>0</v>
      </c>
      <c r="AI224" s="172">
        <f>IF(VLOOKUP(D224,'Pre-Assessment Estimator'!$E$11:$Z$224,'Pre-Assessment Estimator'!$N$2,FALSE)&gt;AA224,AA224,VLOOKUP(D224,'Pre-Assessment Estimator'!$E$11:$Z$224,'Pre-Assessment Estimator'!$N$2,FALSE))</f>
        <v>0</v>
      </c>
      <c r="AJ224" s="172">
        <f>IF(VLOOKUP(D224,'Pre-Assessment Estimator'!$E$11:$Z$224,'Pre-Assessment Estimator'!$U$2,FALSE)&gt;AA224,AA224,VLOOKUP(D224,'Pre-Assessment Estimator'!$E$11:$Z$224,'Pre-Assessment Estimator'!$U$2,FALSE))</f>
        <v>0</v>
      </c>
      <c r="AL224" s="292"/>
      <c r="AM224" s="293"/>
      <c r="AN224" s="293"/>
      <c r="AO224" s="293"/>
      <c r="AP224" s="733"/>
      <c r="AQ224" s="139"/>
      <c r="AR224" s="292"/>
      <c r="AS224" s="293"/>
      <c r="AT224" s="293"/>
      <c r="AU224" s="293"/>
      <c r="AV224" s="294"/>
      <c r="AX224" s="188"/>
      <c r="AY224" s="189"/>
      <c r="AZ224" s="189"/>
      <c r="BA224" s="189"/>
      <c r="BB224" s="728">
        <f>IF($D$6=$G$9,AV224,AP224)</f>
        <v>0</v>
      </c>
      <c r="BC224" s="182">
        <f t="shared" si="458"/>
        <v>9</v>
      </c>
      <c r="BD224" s="164" t="str">
        <f t="shared" si="569"/>
        <v>N/A</v>
      </c>
      <c r="BE224" s="185"/>
      <c r="BF224" s="182">
        <f t="shared" si="570"/>
        <v>9</v>
      </c>
      <c r="BG224" s="164" t="str">
        <f t="shared" si="571"/>
        <v>N/A</v>
      </c>
      <c r="BH224" s="185"/>
      <c r="BI224" s="182">
        <f t="shared" si="441"/>
        <v>9</v>
      </c>
      <c r="BJ224" s="164" t="str">
        <f t="shared" si="572"/>
        <v>N/A</v>
      </c>
      <c r="BK224" s="185"/>
      <c r="BN224" s="167"/>
      <c r="BO224" s="167"/>
      <c r="BP224" s="167" t="str">
        <f t="shared" si="548"/>
        <v/>
      </c>
      <c r="BQ224" s="167">
        <f t="shared" si="575"/>
        <v>9</v>
      </c>
      <c r="BR224" s="167">
        <f t="shared" si="576"/>
        <v>9</v>
      </c>
      <c r="BS224" s="167">
        <f t="shared" si="577"/>
        <v>9</v>
      </c>
      <c r="BV224" s="167" t="str">
        <f t="shared" si="573"/>
        <v>Inn 08</v>
      </c>
      <c r="BW224" s="167" t="str">
        <f>IFERROR(VLOOKUP($D224,'Pre-Assessment Estimator'!$E$11:$AB$224,'Pre-Assessment Estimator'!AB$2,FALSE),"")</f>
        <v>N/A</v>
      </c>
      <c r="BX224" s="167">
        <f>IFERROR(VLOOKUP($D224,'Pre-Assessment Estimator'!$E$11:$AI$224,'Pre-Assessment Estimator'!AI$2,FALSE),"")</f>
        <v>0</v>
      </c>
      <c r="BY224" s="167">
        <f t="shared" si="560"/>
        <v>1</v>
      </c>
      <c r="BZ224" s="167">
        <f t="shared" si="561"/>
        <v>0</v>
      </c>
      <c r="CA224" s="167"/>
      <c r="CB224" s="96" t="str">
        <f t="shared" si="562"/>
        <v/>
      </c>
    </row>
    <row r="225" spans="1:80" x14ac:dyDescent="0.25">
      <c r="A225" s="96">
        <v>217</v>
      </c>
      <c r="B225" s="130" t="str">
        <f t="shared" si="574"/>
        <v>Inn 09</v>
      </c>
      <c r="C225" s="166" t="s">
        <v>256</v>
      </c>
      <c r="D225" s="167" t="str">
        <f t="shared" si="563"/>
        <v>Inn 09 - Mat 06: FutureBuilt criteria set for circular buildings, point 2.3 reuse of building components</v>
      </c>
      <c r="E225" s="788">
        <v>1</v>
      </c>
      <c r="F225" s="788">
        <v>1</v>
      </c>
      <c r="G225" s="788">
        <v>1</v>
      </c>
      <c r="H225" s="788">
        <v>1</v>
      </c>
      <c r="I225" s="788">
        <v>1</v>
      </c>
      <c r="J225" s="788">
        <v>1</v>
      </c>
      <c r="K225" s="788">
        <v>1</v>
      </c>
      <c r="L225" s="788">
        <v>1</v>
      </c>
      <c r="M225" s="788">
        <v>1</v>
      </c>
      <c r="N225" s="788">
        <v>1</v>
      </c>
      <c r="O225" s="788">
        <v>1</v>
      </c>
      <c r="P225" s="1145">
        <v>1</v>
      </c>
      <c r="Q225" s="1145">
        <v>1</v>
      </c>
      <c r="S225" s="221">
        <f t="shared" si="564"/>
        <v>1</v>
      </c>
      <c r="T225" s="192"/>
      <c r="U225" s="193"/>
      <c r="V225" s="193"/>
      <c r="W225" s="168">
        <f>'Manuell filtrering og justering'!E102</f>
        <v>0</v>
      </c>
      <c r="X225" s="169"/>
      <c r="Y225" s="1175">
        <f>VLOOKUP(B225,'Manuell filtrering og justering'!$A$7:$H$253,'Manuell filtrering og justering'!$H$1,FALSE)</f>
        <v>1</v>
      </c>
      <c r="Z225" s="169">
        <f t="shared" si="565"/>
        <v>0</v>
      </c>
      <c r="AA225" s="170">
        <f>IF($AB$5='Manuell filtrering og justering'!$J$2,Y225,(S225-Z225))</f>
        <v>1</v>
      </c>
      <c r="AC225" s="171">
        <f>(Inn_Weight/Inn_Credits)*Inn09_credits</f>
        <v>0.01</v>
      </c>
      <c r="AD225" s="171">
        <f t="shared" si="566"/>
        <v>0</v>
      </c>
      <c r="AE225" s="171">
        <f t="shared" si="567"/>
        <v>0</v>
      </c>
      <c r="AF225" s="171">
        <f t="shared" si="568"/>
        <v>0</v>
      </c>
      <c r="AH225" s="214">
        <f>IF(VLOOKUP(D225,'Pre-Assessment Estimator'!$E$11:$Z$224,'Pre-Assessment Estimator'!$G$2,FALSE)&gt;AA225,AA225,VLOOKUP(D225,'Pre-Assessment Estimator'!$E$11:$Z$224,'Pre-Assessment Estimator'!$G$2,FALSE))</f>
        <v>0</v>
      </c>
      <c r="AI225" s="172">
        <f>IF(VLOOKUP(D225,'Pre-Assessment Estimator'!$E$11:$Z$224,'Pre-Assessment Estimator'!$N$2,FALSE)&gt;AA225,AA225,VLOOKUP(D225,'Pre-Assessment Estimator'!$E$11:$Z$224,'Pre-Assessment Estimator'!$N$2,FALSE))</f>
        <v>0</v>
      </c>
      <c r="AJ225" s="172">
        <f>IF(VLOOKUP(D225,'Pre-Assessment Estimator'!$E$11:$Z$224,'Pre-Assessment Estimator'!$U$2,FALSE)&gt;AA225,AA225,VLOOKUP(D225,'Pre-Assessment Estimator'!$E$11:$Z$224,'Pre-Assessment Estimator'!$U$2,FALSE))</f>
        <v>0</v>
      </c>
      <c r="AL225" s="292"/>
      <c r="AM225" s="293"/>
      <c r="AN225" s="293"/>
      <c r="AO225" s="293"/>
      <c r="AP225" s="733"/>
      <c r="AQ225" s="139"/>
      <c r="AR225" s="292"/>
      <c r="AS225" s="293"/>
      <c r="AT225" s="293"/>
      <c r="AU225" s="293"/>
      <c r="AV225" s="294"/>
      <c r="AX225" s="188"/>
      <c r="AY225" s="189"/>
      <c r="AZ225" s="189"/>
      <c r="BA225" s="189"/>
      <c r="BB225" s="728">
        <f>IF($D$6=$G$9,AV225,AP225)</f>
        <v>0</v>
      </c>
      <c r="BC225" s="182">
        <f t="shared" si="458"/>
        <v>9</v>
      </c>
      <c r="BD225" s="164" t="str">
        <f t="shared" si="569"/>
        <v>N/A</v>
      </c>
      <c r="BE225" s="185"/>
      <c r="BF225" s="182">
        <f t="shared" si="570"/>
        <v>9</v>
      </c>
      <c r="BG225" s="164" t="str">
        <f t="shared" si="571"/>
        <v>N/A</v>
      </c>
      <c r="BH225" s="185"/>
      <c r="BI225" s="182">
        <f t="shared" si="441"/>
        <v>9</v>
      </c>
      <c r="BJ225" s="164" t="str">
        <f t="shared" si="572"/>
        <v>N/A</v>
      </c>
      <c r="BK225" s="185"/>
      <c r="BN225" s="167"/>
      <c r="BO225" s="167">
        <v>1</v>
      </c>
      <c r="BP225" s="167">
        <f t="shared" si="548"/>
        <v>1</v>
      </c>
      <c r="BQ225" s="167">
        <f t="shared" si="575"/>
        <v>0</v>
      </c>
      <c r="BR225" s="167">
        <f t="shared" si="576"/>
        <v>0</v>
      </c>
      <c r="BS225" s="167">
        <f t="shared" si="577"/>
        <v>0</v>
      </c>
      <c r="BV225" s="167" t="str">
        <f t="shared" si="573"/>
        <v>Inn 09</v>
      </c>
      <c r="BW225" s="167" t="str">
        <f>IFERROR(VLOOKUP($D225,'Pre-Assessment Estimator'!$E$11:$AB$224,'Pre-Assessment Estimator'!AB$2,FALSE),"")</f>
        <v>N/A</v>
      </c>
      <c r="BX225" s="167">
        <f>IFERROR(VLOOKUP($D225,'Pre-Assessment Estimator'!$E$11:$AI$224,'Pre-Assessment Estimator'!AI$2,FALSE),"")</f>
        <v>0</v>
      </c>
      <c r="BY225" s="167">
        <f t="shared" si="560"/>
        <v>1</v>
      </c>
      <c r="BZ225" s="167">
        <f t="shared" si="561"/>
        <v>0</v>
      </c>
      <c r="CA225" s="167"/>
      <c r="CB225" s="96" t="str">
        <f t="shared" si="562"/>
        <v/>
      </c>
    </row>
    <row r="226" spans="1:80" x14ac:dyDescent="0.25">
      <c r="A226" s="96">
        <v>218</v>
      </c>
      <c r="B226" s="130" t="str">
        <f t="shared" si="574"/>
        <v>Inn 10</v>
      </c>
      <c r="C226" s="222" t="s">
        <v>476</v>
      </c>
      <c r="D226" s="189" t="str">
        <f t="shared" si="563"/>
        <v xml:space="preserve">Inn 10 - Wst 01: Especially low amount of construction waste </v>
      </c>
      <c r="E226" s="788">
        <v>1</v>
      </c>
      <c r="F226" s="788">
        <v>1</v>
      </c>
      <c r="G226" s="788">
        <v>1</v>
      </c>
      <c r="H226" s="788">
        <v>1</v>
      </c>
      <c r="I226" s="788">
        <v>1</v>
      </c>
      <c r="J226" s="788">
        <v>1</v>
      </c>
      <c r="K226" s="788">
        <v>1</v>
      </c>
      <c r="L226" s="788">
        <v>1</v>
      </c>
      <c r="M226" s="788">
        <v>1</v>
      </c>
      <c r="N226" s="788">
        <v>1</v>
      </c>
      <c r="O226" s="788">
        <v>1</v>
      </c>
      <c r="P226" s="1145">
        <v>1</v>
      </c>
      <c r="Q226" s="1145">
        <v>1</v>
      </c>
      <c r="S226" s="221">
        <f t="shared" si="564"/>
        <v>1</v>
      </c>
      <c r="T226" s="192"/>
      <c r="U226" s="193"/>
      <c r="V226" s="193"/>
      <c r="W226" s="168">
        <f>'Manuell filtrering og justering'!E103</f>
        <v>0</v>
      </c>
      <c r="X226" s="169"/>
      <c r="Y226" s="1175">
        <f>VLOOKUP(B226,'Manuell filtrering og justering'!$A$7:$H$253,'Manuell filtrering og justering'!$H$1,FALSE)</f>
        <v>1</v>
      </c>
      <c r="Z226" s="169">
        <f t="shared" si="565"/>
        <v>0</v>
      </c>
      <c r="AA226" s="170">
        <f>IF($AB$5='Manuell filtrering og justering'!$J$2,Y226,(S226-Z226))</f>
        <v>1</v>
      </c>
      <c r="AC226" s="171">
        <f>(Inn_Weight/Inn_Credits)*Inn10_credits</f>
        <v>0.01</v>
      </c>
      <c r="AD226" s="171">
        <f t="shared" si="566"/>
        <v>0</v>
      </c>
      <c r="AE226" s="171">
        <f t="shared" si="567"/>
        <v>0</v>
      </c>
      <c r="AF226" s="171">
        <f t="shared" si="568"/>
        <v>0</v>
      </c>
      <c r="AH226" s="214">
        <f>IF(VLOOKUP(D226,'Pre-Assessment Estimator'!$E$11:$Z$224,'Pre-Assessment Estimator'!$G$2,FALSE)&gt;AA226,AA226,VLOOKUP(D226,'Pre-Assessment Estimator'!$E$11:$Z$224,'Pre-Assessment Estimator'!$G$2,FALSE))</f>
        <v>0</v>
      </c>
      <c r="AI226" s="172">
        <f>IF(VLOOKUP(D226,'Pre-Assessment Estimator'!$E$11:$Z$224,'Pre-Assessment Estimator'!$N$2,FALSE)&gt;AA226,AA226,VLOOKUP(D226,'Pre-Assessment Estimator'!$E$11:$Z$224,'Pre-Assessment Estimator'!$N$2,FALSE))</f>
        <v>0</v>
      </c>
      <c r="AJ226" s="172">
        <f>IF(VLOOKUP(D226,'Pre-Assessment Estimator'!$E$11:$Z$224,'Pre-Assessment Estimator'!$U$2,FALSE)&gt;AA226,AA226,VLOOKUP(D226,'Pre-Assessment Estimator'!$E$11:$Z$224,'Pre-Assessment Estimator'!$U$2,FALSE))</f>
        <v>0</v>
      </c>
      <c r="AL226" s="292"/>
      <c r="AM226" s="293"/>
      <c r="AN226" s="293"/>
      <c r="AO226" s="293"/>
      <c r="AP226" s="733"/>
      <c r="AQ226" s="139"/>
      <c r="AR226" s="292"/>
      <c r="AS226" s="293"/>
      <c r="AT226" s="293"/>
      <c r="AU226" s="293"/>
      <c r="AV226" s="294"/>
      <c r="AX226" s="188"/>
      <c r="AY226" s="189"/>
      <c r="AZ226" s="189"/>
      <c r="BA226" s="189"/>
      <c r="BB226" s="728">
        <f t="shared" ref="BB226:BB229" si="578">IF($D$6=$G$9,AV226,AP226)</f>
        <v>0</v>
      </c>
      <c r="BC226" s="182">
        <f t="shared" ref="BC226:BC229" si="579">IF(BB226=0,9,IF(AH226&gt;=BB226,5,IF(AH226&gt;=BA226,4,IF(AH226&gt;=AZ226,3,IF(AH226&gt;=AY226,2,IF(AH226&lt;AX226,0,1))))))</f>
        <v>9</v>
      </c>
      <c r="BD226" s="164" t="str">
        <f t="shared" si="569"/>
        <v>N/A</v>
      </c>
      <c r="BE226" s="185"/>
      <c r="BF226" s="182">
        <f t="shared" ref="BF226:BF229" si="580">IF(BB226=0,9,IF(AI226&gt;=BB226,5,IF(AI226&gt;=BA226,4,IF(AI226&gt;=AZ226,3,IF(AI226&gt;=AY226,2,IF(AI226&lt;AX226,0,1))))))</f>
        <v>9</v>
      </c>
      <c r="BG226" s="164" t="str">
        <f t="shared" si="571"/>
        <v>N/A</v>
      </c>
      <c r="BH226" s="185"/>
      <c r="BI226" s="182">
        <f t="shared" ref="BI226:BI229" si="581">IF(BB226=0,9,IF(AJ226&gt;=BB226,5,IF(AJ226&gt;=BA226,4,IF(AJ226&gt;=AZ226,3,IF(AJ226&gt;=AY226,2,IF(AJ226&lt;AX226,0,1))))))</f>
        <v>9</v>
      </c>
      <c r="BJ226" s="164" t="str">
        <f t="shared" si="572"/>
        <v>N/A</v>
      </c>
      <c r="BK226" s="185"/>
      <c r="BN226" s="167"/>
      <c r="BO226" s="167"/>
      <c r="BP226" s="167" t="str">
        <f t="shared" si="548"/>
        <v/>
      </c>
      <c r="BQ226" s="167">
        <f t="shared" si="575"/>
        <v>9</v>
      </c>
      <c r="BR226" s="167">
        <f t="shared" si="576"/>
        <v>9</v>
      </c>
      <c r="BS226" s="167">
        <f t="shared" si="577"/>
        <v>9</v>
      </c>
      <c r="BV226" s="314"/>
      <c r="BW226" s="314"/>
      <c r="BX226" s="314"/>
      <c r="BY226" s="314"/>
      <c r="BZ226" s="314"/>
      <c r="CA226" s="314"/>
    </row>
    <row r="227" spans="1:80" x14ac:dyDescent="0.25">
      <c r="A227" s="96">
        <v>219</v>
      </c>
      <c r="B227" s="130" t="str">
        <f t="shared" si="574"/>
        <v>Inn 11</v>
      </c>
      <c r="C227" s="222" t="s">
        <v>477</v>
      </c>
      <c r="D227" s="189" t="str">
        <f t="shared" si="563"/>
        <v>Inn 11 - LE 02: Wider sustainability for the site</v>
      </c>
      <c r="E227" s="788">
        <v>1</v>
      </c>
      <c r="F227" s="788">
        <v>1</v>
      </c>
      <c r="G227" s="788">
        <v>1</v>
      </c>
      <c r="H227" s="788">
        <v>1</v>
      </c>
      <c r="I227" s="788">
        <v>1</v>
      </c>
      <c r="J227" s="788">
        <v>1</v>
      </c>
      <c r="K227" s="788">
        <v>1</v>
      </c>
      <c r="L227" s="788">
        <v>1</v>
      </c>
      <c r="M227" s="788">
        <v>1</v>
      </c>
      <c r="N227" s="788">
        <v>1</v>
      </c>
      <c r="O227" s="788">
        <v>1</v>
      </c>
      <c r="P227" s="1145">
        <v>1</v>
      </c>
      <c r="Q227" s="1145">
        <v>1</v>
      </c>
      <c r="S227" s="221">
        <f t="shared" si="564"/>
        <v>1</v>
      </c>
      <c r="T227" s="192"/>
      <c r="U227" s="193"/>
      <c r="V227" s="193"/>
      <c r="W227" s="168">
        <f>'Manuell filtrering og justering'!E104</f>
        <v>0</v>
      </c>
      <c r="X227" s="169"/>
      <c r="Y227" s="1175">
        <f>VLOOKUP(B227,'Manuell filtrering og justering'!$A$7:$H$253,'Manuell filtrering og justering'!$H$1,FALSE)</f>
        <v>1</v>
      </c>
      <c r="Z227" s="169">
        <f t="shared" si="565"/>
        <v>0</v>
      </c>
      <c r="AA227" s="170">
        <f>IF($AB$5='Manuell filtrering og justering'!$J$2,Y227,(S227-Z227))</f>
        <v>1</v>
      </c>
      <c r="AC227" s="171">
        <f>(Inn_Weight/Inn_Credits)*Inn11_credits</f>
        <v>0.01</v>
      </c>
      <c r="AD227" s="171">
        <f t="shared" si="566"/>
        <v>0</v>
      </c>
      <c r="AE227" s="171">
        <f t="shared" si="567"/>
        <v>0</v>
      </c>
      <c r="AF227" s="171">
        <f t="shared" si="568"/>
        <v>0</v>
      </c>
      <c r="AH227" s="214">
        <f>IF(VLOOKUP(D227,'Pre-Assessment Estimator'!$E$11:$Z$224,'Pre-Assessment Estimator'!$G$2,FALSE)&gt;AA227,AA227,VLOOKUP(D227,'Pre-Assessment Estimator'!$E$11:$Z$224,'Pre-Assessment Estimator'!$G$2,FALSE))</f>
        <v>0</v>
      </c>
      <c r="AI227" s="172">
        <f>IF(VLOOKUP(D227,'Pre-Assessment Estimator'!$E$11:$Z$224,'Pre-Assessment Estimator'!$N$2,FALSE)&gt;AA227,AA227,VLOOKUP(D227,'Pre-Assessment Estimator'!$E$11:$Z$224,'Pre-Assessment Estimator'!$N$2,FALSE))</f>
        <v>0</v>
      </c>
      <c r="AJ227" s="172">
        <f>IF(VLOOKUP(D227,'Pre-Assessment Estimator'!$E$11:$Z$224,'Pre-Assessment Estimator'!$U$2,FALSE)&gt;AA227,AA227,VLOOKUP(D227,'Pre-Assessment Estimator'!$E$11:$Z$224,'Pre-Assessment Estimator'!$U$2,FALSE))</f>
        <v>0</v>
      </c>
      <c r="AL227" s="292"/>
      <c r="AM227" s="293"/>
      <c r="AN227" s="293"/>
      <c r="AO227" s="293"/>
      <c r="AP227" s="733"/>
      <c r="AQ227" s="139"/>
      <c r="AR227" s="292"/>
      <c r="AS227" s="293"/>
      <c r="AT227" s="293"/>
      <c r="AU227" s="293"/>
      <c r="AV227" s="294"/>
      <c r="AX227" s="188"/>
      <c r="AY227" s="189"/>
      <c r="AZ227" s="189"/>
      <c r="BA227" s="189"/>
      <c r="BB227" s="728">
        <f t="shared" si="578"/>
        <v>0</v>
      </c>
      <c r="BC227" s="182">
        <f t="shared" si="579"/>
        <v>9</v>
      </c>
      <c r="BD227" s="164" t="str">
        <f t="shared" si="569"/>
        <v>N/A</v>
      </c>
      <c r="BE227" s="185"/>
      <c r="BF227" s="182">
        <f t="shared" si="580"/>
        <v>9</v>
      </c>
      <c r="BG227" s="164" t="str">
        <f t="shared" si="571"/>
        <v>N/A</v>
      </c>
      <c r="BH227" s="185"/>
      <c r="BI227" s="182">
        <f t="shared" si="581"/>
        <v>9</v>
      </c>
      <c r="BJ227" s="164" t="str">
        <f t="shared" si="572"/>
        <v>N/A</v>
      </c>
      <c r="BK227" s="185"/>
      <c r="BN227" s="167"/>
      <c r="BO227" s="167"/>
      <c r="BP227" s="167" t="str">
        <f t="shared" si="548"/>
        <v/>
      </c>
      <c r="BQ227" s="167">
        <f t="shared" si="575"/>
        <v>9</v>
      </c>
      <c r="BR227" s="167">
        <f t="shared" si="576"/>
        <v>9</v>
      </c>
      <c r="BS227" s="167">
        <f t="shared" si="577"/>
        <v>9</v>
      </c>
      <c r="BV227" s="314"/>
      <c r="BW227" s="314"/>
      <c r="BX227" s="314"/>
      <c r="BY227" s="314"/>
      <c r="BZ227" s="314"/>
      <c r="CA227" s="314"/>
    </row>
    <row r="228" spans="1:80" x14ac:dyDescent="0.25">
      <c r="A228" s="96">
        <v>220</v>
      </c>
      <c r="B228" s="130" t="str">
        <f t="shared" si="574"/>
        <v>Inn 12</v>
      </c>
      <c r="C228" s="222" t="s">
        <v>478</v>
      </c>
      <c r="D228" s="189" t="str">
        <f t="shared" si="563"/>
        <v>Inn 12 - LE 04: Significant net gain of biodiversity</v>
      </c>
      <c r="E228" s="788">
        <v>1</v>
      </c>
      <c r="F228" s="788">
        <v>1</v>
      </c>
      <c r="G228" s="788">
        <v>1</v>
      </c>
      <c r="H228" s="788">
        <v>1</v>
      </c>
      <c r="I228" s="788">
        <v>1</v>
      </c>
      <c r="J228" s="788">
        <v>1</v>
      </c>
      <c r="K228" s="788">
        <v>1</v>
      </c>
      <c r="L228" s="788">
        <v>1</v>
      </c>
      <c r="M228" s="788">
        <v>1</v>
      </c>
      <c r="N228" s="788">
        <v>1</v>
      </c>
      <c r="O228" s="788">
        <v>1</v>
      </c>
      <c r="P228" s="1145">
        <v>1</v>
      </c>
      <c r="Q228" s="1145">
        <v>1</v>
      </c>
      <c r="S228" s="221">
        <f t="shared" si="564"/>
        <v>1</v>
      </c>
      <c r="T228" s="192"/>
      <c r="U228" s="193"/>
      <c r="V228" s="193"/>
      <c r="W228" s="168">
        <f>'Manuell filtrering og justering'!E105</f>
        <v>0</v>
      </c>
      <c r="X228" s="169"/>
      <c r="Y228" s="1175">
        <f>VLOOKUP(B228,'Manuell filtrering og justering'!$A$7:$H$253,'Manuell filtrering og justering'!$H$1,FALSE)</f>
        <v>1</v>
      </c>
      <c r="Z228" s="169">
        <f t="shared" si="565"/>
        <v>0</v>
      </c>
      <c r="AA228" s="170">
        <f>IF($AB$5='Manuell filtrering og justering'!$J$2,Y228,(S228-Z228))</f>
        <v>1</v>
      </c>
      <c r="AC228" s="171">
        <f>(Inn_Weight/Inn_Credits)*Inn12_credits</f>
        <v>0.01</v>
      </c>
      <c r="AD228" s="171">
        <f t="shared" si="566"/>
        <v>0</v>
      </c>
      <c r="AE228" s="171">
        <f t="shared" si="567"/>
        <v>0</v>
      </c>
      <c r="AF228" s="171">
        <f t="shared" si="568"/>
        <v>0</v>
      </c>
      <c r="AH228" s="214">
        <f>IF(VLOOKUP(D228,'Pre-Assessment Estimator'!$E$11:$Z$224,'Pre-Assessment Estimator'!$G$2,FALSE)&gt;AA228,AA228,VLOOKUP(D228,'Pre-Assessment Estimator'!$E$11:$Z$224,'Pre-Assessment Estimator'!$G$2,FALSE))</f>
        <v>0</v>
      </c>
      <c r="AI228" s="172">
        <f>IF(VLOOKUP(D228,'Pre-Assessment Estimator'!$E$11:$Z$224,'Pre-Assessment Estimator'!$N$2,FALSE)&gt;AA228,AA228,VLOOKUP(D228,'Pre-Assessment Estimator'!$E$11:$Z$224,'Pre-Assessment Estimator'!$N$2,FALSE))</f>
        <v>0</v>
      </c>
      <c r="AJ228" s="172">
        <f>IF(VLOOKUP(D228,'Pre-Assessment Estimator'!$E$11:$Z$224,'Pre-Assessment Estimator'!$U$2,FALSE)&gt;AA228,AA228,VLOOKUP(D228,'Pre-Assessment Estimator'!$E$11:$Z$224,'Pre-Assessment Estimator'!$U$2,FALSE))</f>
        <v>0</v>
      </c>
      <c r="AL228" s="292"/>
      <c r="AM228" s="293"/>
      <c r="AN228" s="293"/>
      <c r="AO228" s="293"/>
      <c r="AP228" s="733"/>
      <c r="AQ228" s="139"/>
      <c r="AR228" s="292"/>
      <c r="AS228" s="293"/>
      <c r="AT228" s="293"/>
      <c r="AU228" s="293"/>
      <c r="AV228" s="294"/>
      <c r="AX228" s="188"/>
      <c r="AY228" s="189"/>
      <c r="AZ228" s="189"/>
      <c r="BA228" s="189"/>
      <c r="BB228" s="728">
        <f t="shared" si="578"/>
        <v>0</v>
      </c>
      <c r="BC228" s="182">
        <f t="shared" si="579"/>
        <v>9</v>
      </c>
      <c r="BD228" s="164" t="str">
        <f t="shared" si="569"/>
        <v>N/A</v>
      </c>
      <c r="BE228" s="185"/>
      <c r="BF228" s="182">
        <f t="shared" si="580"/>
        <v>9</v>
      </c>
      <c r="BG228" s="164" t="str">
        <f t="shared" si="571"/>
        <v>N/A</v>
      </c>
      <c r="BH228" s="185"/>
      <c r="BI228" s="182">
        <f t="shared" si="581"/>
        <v>9</v>
      </c>
      <c r="BJ228" s="164" t="str">
        <f t="shared" si="572"/>
        <v>N/A</v>
      </c>
      <c r="BK228" s="185"/>
      <c r="BN228" s="167"/>
      <c r="BO228" s="167"/>
      <c r="BP228" s="167" t="str">
        <f t="shared" si="548"/>
        <v/>
      </c>
      <c r="BQ228" s="167">
        <f t="shared" si="575"/>
        <v>9</v>
      </c>
      <c r="BR228" s="167">
        <f t="shared" si="576"/>
        <v>9</v>
      </c>
      <c r="BS228" s="167">
        <f t="shared" si="577"/>
        <v>9</v>
      </c>
      <c r="BV228" s="314"/>
      <c r="BW228" s="314"/>
      <c r="BX228" s="314"/>
      <c r="BY228" s="314"/>
      <c r="BZ228" s="314"/>
      <c r="CA228" s="314"/>
    </row>
    <row r="229" spans="1:80" ht="15.75" thickBot="1" x14ac:dyDescent="0.3">
      <c r="A229" s="96">
        <v>221</v>
      </c>
      <c r="B229" s="130" t="str">
        <f t="shared" si="574"/>
        <v>Inn 13</v>
      </c>
      <c r="C229" s="222" t="s">
        <v>479</v>
      </c>
      <c r="D229" s="189" t="str">
        <f t="shared" si="563"/>
        <v>Inn 13 - LE 06: Responding to climate change</v>
      </c>
      <c r="E229" s="788">
        <v>1</v>
      </c>
      <c r="F229" s="788">
        <v>1</v>
      </c>
      <c r="G229" s="788">
        <v>1</v>
      </c>
      <c r="H229" s="788">
        <v>1</v>
      </c>
      <c r="I229" s="788">
        <v>1</v>
      </c>
      <c r="J229" s="788">
        <v>1</v>
      </c>
      <c r="K229" s="788">
        <v>1</v>
      </c>
      <c r="L229" s="788">
        <v>1</v>
      </c>
      <c r="M229" s="788">
        <v>1</v>
      </c>
      <c r="N229" s="788">
        <v>1</v>
      </c>
      <c r="O229" s="788">
        <v>1</v>
      </c>
      <c r="P229" s="1145">
        <v>1</v>
      </c>
      <c r="Q229" s="1145">
        <v>1</v>
      </c>
      <c r="S229" s="221">
        <f t="shared" si="564"/>
        <v>1</v>
      </c>
      <c r="T229" s="192"/>
      <c r="U229" s="193"/>
      <c r="V229" s="193"/>
      <c r="W229" s="168">
        <f>'Manuell filtrering og justering'!E106</f>
        <v>0</v>
      </c>
      <c r="X229" s="169"/>
      <c r="Y229" s="1175">
        <f>VLOOKUP(B229,'Manuell filtrering og justering'!$A$7:$H$253,'Manuell filtrering og justering'!$H$1,FALSE)</f>
        <v>1</v>
      </c>
      <c r="Z229" s="169">
        <f t="shared" si="565"/>
        <v>0</v>
      </c>
      <c r="AA229" s="170">
        <f>IF($AB$5='Manuell filtrering og justering'!$J$2,Y229,(S229-Z229))</f>
        <v>1</v>
      </c>
      <c r="AC229" s="171">
        <f>(Inn_Weight/Inn_Credits)*Inn13_credits</f>
        <v>0.01</v>
      </c>
      <c r="AD229" s="171">
        <f t="shared" si="566"/>
        <v>0</v>
      </c>
      <c r="AE229" s="171">
        <f t="shared" si="567"/>
        <v>0</v>
      </c>
      <c r="AF229" s="171">
        <f t="shared" si="568"/>
        <v>0</v>
      </c>
      <c r="AH229" s="214">
        <f>IF(VLOOKUP(D229,'Pre-Assessment Estimator'!$E$11:$Z$224,'Pre-Assessment Estimator'!$G$2,FALSE)&gt;AA229,AA229,VLOOKUP(D229,'Pre-Assessment Estimator'!$E$11:$Z$224,'Pre-Assessment Estimator'!$G$2,FALSE))</f>
        <v>0</v>
      </c>
      <c r="AI229" s="172">
        <f>IF(VLOOKUP(D229,'Pre-Assessment Estimator'!$E$11:$Z$224,'Pre-Assessment Estimator'!$N$2,FALSE)&gt;AA229,AA229,VLOOKUP(D229,'Pre-Assessment Estimator'!$E$11:$Z$224,'Pre-Assessment Estimator'!$N$2,FALSE))</f>
        <v>0</v>
      </c>
      <c r="AJ229" s="172">
        <f>IF(VLOOKUP(D229,'Pre-Assessment Estimator'!$E$11:$Z$224,'Pre-Assessment Estimator'!$U$2,FALSE)&gt;AA229,AA229,VLOOKUP(D229,'Pre-Assessment Estimator'!$E$11:$Z$224,'Pre-Assessment Estimator'!$U$2,FALSE))</f>
        <v>0</v>
      </c>
      <c r="AL229" s="295"/>
      <c r="AM229" s="296"/>
      <c r="AN229" s="296"/>
      <c r="AO229" s="296"/>
      <c r="AP229" s="734"/>
      <c r="AQ229" s="139"/>
      <c r="AR229" s="295"/>
      <c r="AS229" s="296"/>
      <c r="AT229" s="296"/>
      <c r="AU229" s="296"/>
      <c r="AV229" s="297"/>
      <c r="AX229" s="194"/>
      <c r="AY229" s="196"/>
      <c r="AZ229" s="196"/>
      <c r="BA229" s="196"/>
      <c r="BB229" s="729">
        <f t="shared" si="578"/>
        <v>0</v>
      </c>
      <c r="BC229" s="198">
        <f t="shared" si="579"/>
        <v>9</v>
      </c>
      <c r="BD229" s="164" t="str">
        <f t="shared" si="569"/>
        <v>N/A</v>
      </c>
      <c r="BE229" s="200"/>
      <c r="BF229" s="198">
        <f t="shared" si="580"/>
        <v>9</v>
      </c>
      <c r="BG229" s="164" t="str">
        <f t="shared" si="571"/>
        <v>N/A</v>
      </c>
      <c r="BH229" s="200"/>
      <c r="BI229" s="198">
        <f t="shared" si="581"/>
        <v>9</v>
      </c>
      <c r="BJ229" s="164" t="str">
        <f t="shared" si="572"/>
        <v>N/A</v>
      </c>
      <c r="BK229" s="200"/>
      <c r="BN229" s="167"/>
      <c r="BO229" s="167"/>
      <c r="BP229" s="167" t="str">
        <f t="shared" si="548"/>
        <v/>
      </c>
      <c r="BQ229" s="167">
        <f t="shared" si="575"/>
        <v>9</v>
      </c>
      <c r="BR229" s="167">
        <f t="shared" si="576"/>
        <v>9</v>
      </c>
      <c r="BS229" s="167">
        <f t="shared" si="577"/>
        <v>9</v>
      </c>
      <c r="BV229" s="314"/>
      <c r="BW229" s="314"/>
      <c r="BX229" s="314"/>
      <c r="BY229" s="314"/>
      <c r="BZ229" s="314"/>
      <c r="CA229" s="314"/>
    </row>
    <row r="230" spans="1:80" ht="15.75" thickBot="1" x14ac:dyDescent="0.3">
      <c r="A230" s="96">
        <v>222</v>
      </c>
      <c r="B230" s="130" t="str">
        <f t="shared" si="574"/>
        <v>Inn 14</v>
      </c>
      <c r="C230" s="730" t="s">
        <v>701</v>
      </c>
      <c r="D230" s="196" t="str">
        <f t="shared" si="563"/>
        <v>Inn 14 - LE 08: Wider approach to surface water management</v>
      </c>
      <c r="E230" s="958">
        <v>1</v>
      </c>
      <c r="F230" s="958">
        <v>1</v>
      </c>
      <c r="G230" s="958">
        <v>1</v>
      </c>
      <c r="H230" s="958">
        <v>1</v>
      </c>
      <c r="I230" s="958">
        <v>1</v>
      </c>
      <c r="J230" s="958">
        <v>1</v>
      </c>
      <c r="K230" s="958">
        <v>1</v>
      </c>
      <c r="L230" s="958">
        <v>1</v>
      </c>
      <c r="M230" s="958">
        <v>1</v>
      </c>
      <c r="N230" s="958">
        <v>1</v>
      </c>
      <c r="O230" s="958">
        <v>1</v>
      </c>
      <c r="P230" s="1146">
        <v>1</v>
      </c>
      <c r="Q230" s="1146">
        <v>1</v>
      </c>
      <c r="S230" s="867">
        <f t="shared" si="564"/>
        <v>1</v>
      </c>
      <c r="T230" s="192"/>
      <c r="U230" s="193"/>
      <c r="V230" s="193"/>
      <c r="W230" s="1181"/>
      <c r="X230" s="1198"/>
      <c r="Y230" s="1175">
        <f>VLOOKUP(B230,'Manuell filtrering og justering'!$A$7:$H$253,'Manuell filtrering og justering'!$H$1,FALSE)</f>
        <v>1</v>
      </c>
      <c r="Z230" s="169">
        <f t="shared" si="565"/>
        <v>0</v>
      </c>
      <c r="AA230" s="170">
        <f>IF($AB$5='Manuell filtrering og justering'!$J$2,Y230,(S230-Z230))</f>
        <v>1</v>
      </c>
      <c r="AC230" s="171">
        <f>(Inn_Weight/Inn_Credits)*AA230</f>
        <v>0.01</v>
      </c>
      <c r="AD230" s="171">
        <f t="shared" si="566"/>
        <v>0</v>
      </c>
      <c r="AE230" s="171">
        <f t="shared" si="567"/>
        <v>0</v>
      </c>
      <c r="AF230" s="171">
        <f t="shared" si="568"/>
        <v>0</v>
      </c>
      <c r="AH230" s="214">
        <f>IF(VLOOKUP(D230,'Pre-Assessment Estimator'!$E$11:$Z$224,'Pre-Assessment Estimator'!$G$2,FALSE)&gt;AA230,AA230,VLOOKUP(D230,'Pre-Assessment Estimator'!$E$11:$Z$224,'Pre-Assessment Estimator'!$G$2,FALSE))</f>
        <v>0</v>
      </c>
      <c r="AI230" s="172">
        <f>IF(VLOOKUP(D230,'Pre-Assessment Estimator'!$E$11:$Z$224,'Pre-Assessment Estimator'!$N$2,FALSE)&gt;AA230,AA230,VLOOKUP(D230,'Pre-Assessment Estimator'!$E$11:$Z$224,'Pre-Assessment Estimator'!$N$2,FALSE))</f>
        <v>0</v>
      </c>
      <c r="AJ230" s="172">
        <f>IF(VLOOKUP(D230,'Pre-Assessment Estimator'!$E$11:$Z$224,'Pre-Assessment Estimator'!$U$2,FALSE)&gt;AA230,AA230,VLOOKUP(D230,'Pre-Assessment Estimator'!$E$11:$Z$224,'Pre-Assessment Estimator'!$U$2,FALSE))</f>
        <v>0</v>
      </c>
      <c r="AL230" s="292"/>
      <c r="AM230" s="293"/>
      <c r="AN230" s="293"/>
      <c r="AO230" s="293"/>
      <c r="AP230" s="733"/>
      <c r="AQ230" s="139"/>
      <c r="AR230" s="292"/>
      <c r="AS230" s="293"/>
      <c r="AT230" s="293"/>
      <c r="AU230" s="293"/>
      <c r="AV230" s="294"/>
      <c r="AX230" s="188"/>
      <c r="AY230" s="189"/>
      <c r="AZ230" s="189"/>
      <c r="BA230" s="189"/>
      <c r="BB230" s="728">
        <f t="shared" ref="BB230" si="582">IF($D$6=$G$9,AV230,AP230)</f>
        <v>0</v>
      </c>
      <c r="BC230" s="182">
        <f t="shared" ref="BC230" si="583">IF(BB230=0,9,IF(AH230&gt;=BB230,5,IF(AH230&gt;=BA230,4,IF(AH230&gt;=AZ230,3,IF(AH230&gt;=AY230,2,IF(AH230&lt;AX230,0,1))))))</f>
        <v>9</v>
      </c>
      <c r="BD230" s="164" t="str">
        <f t="shared" si="569"/>
        <v>N/A</v>
      </c>
      <c r="BE230" s="185"/>
      <c r="BF230" s="182">
        <f t="shared" ref="BF230" si="584">IF(BB230=0,9,IF(AI230&gt;=BB230,5,IF(AI230&gt;=BA230,4,IF(AI230&gt;=AZ230,3,IF(AI230&gt;=AY230,2,IF(AI230&lt;AX230,0,1))))))</f>
        <v>9</v>
      </c>
      <c r="BG230" s="164" t="str">
        <f t="shared" si="571"/>
        <v>N/A</v>
      </c>
      <c r="BH230" s="185"/>
      <c r="BI230" s="182">
        <f t="shared" ref="BI230" si="585">IF(BB230=0,9,IF(AJ230&gt;=BB230,5,IF(AJ230&gt;=BA230,4,IF(AJ230&gt;=AZ230,3,IF(AJ230&gt;=AY230,2,IF(AJ230&lt;AX230,0,1))))))</f>
        <v>9</v>
      </c>
      <c r="BJ230" s="164" t="str">
        <f t="shared" si="572"/>
        <v>N/A</v>
      </c>
      <c r="BK230" s="185"/>
      <c r="BN230" s="167"/>
      <c r="BO230" s="167"/>
      <c r="BP230" s="167" t="str">
        <f t="shared" si="548"/>
        <v/>
      </c>
      <c r="BQ230" s="167">
        <f t="shared" si="575"/>
        <v>9</v>
      </c>
      <c r="BR230" s="167">
        <f t="shared" si="576"/>
        <v>9</v>
      </c>
      <c r="BS230" s="167">
        <f t="shared" si="577"/>
        <v>9</v>
      </c>
      <c r="BV230" s="314"/>
      <c r="BW230" s="314"/>
      <c r="BX230" s="314"/>
      <c r="BY230" s="314"/>
      <c r="BZ230" s="314"/>
      <c r="CA230" s="314"/>
    </row>
    <row r="231" spans="1:80" ht="15.75" thickBot="1" x14ac:dyDescent="0.3">
      <c r="A231" s="96">
        <v>223</v>
      </c>
      <c r="B231" s="130" t="s">
        <v>895</v>
      </c>
      <c r="C231" s="722" t="s">
        <v>216</v>
      </c>
      <c r="D231" s="721"/>
      <c r="E231" s="787">
        <f>IF(SUM(E217:E230)&gt;10,10,SUM(E217:E230))</f>
        <v>10</v>
      </c>
      <c r="F231" s="787">
        <f t="shared" ref="F231:Q231" si="586">IF(SUM(F217:F230)&gt;10,10,SUM(F217:F230))</f>
        <v>10</v>
      </c>
      <c r="G231" s="787">
        <f t="shared" si="586"/>
        <v>10</v>
      </c>
      <c r="H231" s="787">
        <f t="shared" si="586"/>
        <v>10</v>
      </c>
      <c r="I231" s="787">
        <f t="shared" si="586"/>
        <v>10</v>
      </c>
      <c r="J231" s="787">
        <f t="shared" si="586"/>
        <v>10</v>
      </c>
      <c r="K231" s="787">
        <f t="shared" si="586"/>
        <v>10</v>
      </c>
      <c r="L231" s="787">
        <f t="shared" si="586"/>
        <v>10</v>
      </c>
      <c r="M231" s="787">
        <f t="shared" si="586"/>
        <v>10</v>
      </c>
      <c r="N231" s="787">
        <f t="shared" si="586"/>
        <v>10</v>
      </c>
      <c r="O231" s="787">
        <f t="shared" si="586"/>
        <v>10</v>
      </c>
      <c r="P231" s="787">
        <f t="shared" ref="P231" si="587">IF(SUM(P217:P230)&gt;10,10,SUM(P217:P230))</f>
        <v>10</v>
      </c>
      <c r="Q231" s="787">
        <f t="shared" si="586"/>
        <v>10</v>
      </c>
      <c r="S231" s="226">
        <f t="shared" si="564"/>
        <v>10</v>
      </c>
      <c r="T231" s="204"/>
      <c r="U231" s="205"/>
      <c r="V231" s="205"/>
      <c r="W231" s="206"/>
      <c r="X231" s="207"/>
      <c r="Y231" s="1178"/>
      <c r="Z231" s="207">
        <f>SUM(Z217:Z230)</f>
        <v>0</v>
      </c>
      <c r="AA231" s="227">
        <f>IF(SUM(AA217:AA230)&gt;10,10,SUM(AA217:AA230))</f>
        <v>10</v>
      </c>
      <c r="AC231" s="234">
        <f>IF(SUM(AC217:AC230)&gt;0.1,0.1,(SUM(AC217:AC230)))</f>
        <v>0.1</v>
      </c>
      <c r="AD231" s="234">
        <f>IF(SUM(AD217:AD230)&gt;0.1,0.1,(SUM(AD217:AD230)))</f>
        <v>0</v>
      </c>
      <c r="AE231" s="234">
        <f>IF(SUM(AE217:AE230)&gt;0.1,0.1,(SUM(AE217:AE230)))</f>
        <v>0</v>
      </c>
      <c r="AF231" s="234">
        <f>IF(SUM(AF217:AF230)&gt;0.1,0.1,(SUM(AF217:AF230)))</f>
        <v>0</v>
      </c>
      <c r="AH231" s="44">
        <f>IF(SUM(AH217:AH230)&gt;10,10,SUM(AH217:AH230))</f>
        <v>0</v>
      </c>
      <c r="AI231" s="44">
        <f>IF(SUM(AI217:AI230)&gt;10,10,SUM(AI217:AI230))</f>
        <v>0</v>
      </c>
      <c r="AJ231" s="44">
        <f>IF(SUM(AJ217:AJ230)&gt;10,10,SUM(AJ217:AJ230))</f>
        <v>0</v>
      </c>
      <c r="AX231" s="97"/>
      <c r="AY231" s="97"/>
      <c r="AZ231" s="97"/>
      <c r="BA231" s="97"/>
      <c r="BB231" s="235"/>
      <c r="BC231" s="236"/>
      <c r="BV231" s="202"/>
      <c r="BW231" s="202" t="str">
        <f>IFERROR(VLOOKUP($D231,'Pre-Assessment Estimator'!$E$11:$AB$224,'Pre-Assessment Estimator'!AB$2,FALSE),"")</f>
        <v/>
      </c>
      <c r="BX231" s="202" t="str">
        <f>IFERROR(VLOOKUP($D231,'Pre-Assessment Estimator'!$E$11:$AI$224,'Pre-Assessment Estimator'!AI$2,FALSE),"")</f>
        <v/>
      </c>
      <c r="BY231" s="202" t="str">
        <f t="shared" ref="BY231:BZ233" si="588">IFERROR(VLOOKUP($BW231,$D$291:$G$324,E$289,FALSE),"")</f>
        <v/>
      </c>
      <c r="BZ231" s="202" t="str">
        <f t="shared" si="588"/>
        <v/>
      </c>
      <c r="CA231" s="202"/>
      <c r="CB231" s="96" t="str">
        <f>IFERROR(VLOOKUP($BW231,$D$291:$G$324,H$289,FALSE),"")</f>
        <v/>
      </c>
    </row>
    <row r="232" spans="1:80" ht="15.75" thickBot="1" x14ac:dyDescent="0.3">
      <c r="A232" s="96">
        <v>224</v>
      </c>
      <c r="AX232" s="97"/>
      <c r="AY232" s="97"/>
      <c r="AZ232" s="97"/>
      <c r="BA232" s="97"/>
      <c r="BB232" s="235"/>
      <c r="BC232" s="236"/>
      <c r="BW232" s="96" t="str">
        <f>IFERROR(VLOOKUP($D232,'Pre-Assessment Estimator'!$E$11:$AB$224,'Pre-Assessment Estimator'!AB$2,FALSE),"")</f>
        <v/>
      </c>
      <c r="BX232" s="96" t="str">
        <f>IFERROR(VLOOKUP($D232,'Pre-Assessment Estimator'!$E$11:$AI$224,'Pre-Assessment Estimator'!AI$2,FALSE),"")</f>
        <v/>
      </c>
      <c r="BY232" s="96" t="str">
        <f t="shared" si="588"/>
        <v/>
      </c>
      <c r="BZ232" s="96" t="str">
        <f t="shared" si="588"/>
        <v/>
      </c>
      <c r="CB232" s="96" t="str">
        <f>IFERROR(VLOOKUP($BW232,$D$291:$G$324,H$289,FALSE),"")</f>
        <v/>
      </c>
    </row>
    <row r="233" spans="1:80" ht="60.75" thickBot="1" x14ac:dyDescent="0.3">
      <c r="A233" s="96">
        <v>225</v>
      </c>
      <c r="C233" s="151"/>
      <c r="D233" s="152" t="s">
        <v>235</v>
      </c>
      <c r="E233" s="778" t="str">
        <f>$E$9</f>
        <v>Office</v>
      </c>
      <c r="F233" s="778" t="str">
        <f>$F$9</f>
        <v>Retail</v>
      </c>
      <c r="G233" s="778" t="str">
        <f>$G$9</f>
        <v>Residential</v>
      </c>
      <c r="H233" s="778" t="str">
        <f>$H$9</f>
        <v>Industrial</v>
      </c>
      <c r="I233" s="778" t="str">
        <f>$I$9</f>
        <v>Healthcare</v>
      </c>
      <c r="J233" s="778" t="str">
        <f>$J$9</f>
        <v>Prison</v>
      </c>
      <c r="K233" s="778" t="str">
        <f>$K$9</f>
        <v>Law Court</v>
      </c>
      <c r="L233" s="778" t="str">
        <f>$L$9</f>
        <v>Residential institution (long term stay)</v>
      </c>
      <c r="M233" s="778" t="str">
        <f>$M$9</f>
        <v>Residential institution (short term stay)</v>
      </c>
      <c r="N233" s="778" t="str">
        <f>$N$9</f>
        <v>Non-residential institution</v>
      </c>
      <c r="O233" s="778" t="str">
        <f>$O$9</f>
        <v>Assembly and leisure</v>
      </c>
      <c r="P233" s="779" t="str">
        <f>$P$9</f>
        <v>Education</v>
      </c>
      <c r="Q233" s="779" t="str">
        <f>$Q$9</f>
        <v>Other</v>
      </c>
      <c r="S233" s="138" t="str">
        <f>$D$6</f>
        <v>Office</v>
      </c>
      <c r="T233" s="237"/>
      <c r="U233" s="238"/>
      <c r="V233" s="211"/>
      <c r="W233" s="211"/>
      <c r="X233" s="1182" t="s">
        <v>414</v>
      </c>
      <c r="Y233" s="347" t="s">
        <v>337</v>
      </c>
      <c r="Z233" s="150" t="s">
        <v>216</v>
      </c>
      <c r="AA233" s="59" t="s">
        <v>16</v>
      </c>
      <c r="AH233" s="42"/>
      <c r="AI233" s="60"/>
      <c r="AJ233" s="60"/>
      <c r="AX233" s="97"/>
      <c r="AY233" s="97"/>
      <c r="AZ233" s="97"/>
      <c r="BA233" s="97"/>
      <c r="BB233" s="235"/>
      <c r="BC233" s="236"/>
      <c r="BN233" s="60"/>
      <c r="BO233" s="60"/>
      <c r="BP233" s="60"/>
      <c r="BQ233" s="60"/>
      <c r="BR233" s="60"/>
      <c r="BS233" s="60"/>
      <c r="BV233" s="146"/>
      <c r="BW233" s="146" t="str">
        <f>D233</f>
        <v>Spesialtilfeller</v>
      </c>
      <c r="BX233" s="146" t="str">
        <f>IFERROR(VLOOKUP($D233,'Pre-Assessment Estimator'!$E$11:$AI$224,'Pre-Assessment Estimator'!AI$2,FALSE),"")</f>
        <v/>
      </c>
      <c r="BY233" s="146" t="str">
        <f t="shared" si="588"/>
        <v/>
      </c>
      <c r="BZ233" s="146" t="str">
        <f t="shared" si="588"/>
        <v/>
      </c>
      <c r="CA233" s="146"/>
      <c r="CB233" s="96" t="str">
        <f>IFERROR(VLOOKUP($BW233,$D$291:$G$324,H$289,FALSE),"")</f>
        <v/>
      </c>
    </row>
    <row r="234" spans="1:80" ht="15.75" thickBot="1" x14ac:dyDescent="0.3">
      <c r="A234" s="96">
        <v>226</v>
      </c>
      <c r="B234" s="96" t="s">
        <v>732</v>
      </c>
      <c r="C234" s="743" t="s">
        <v>732</v>
      </c>
      <c r="D234" s="987" t="s">
        <v>960</v>
      </c>
      <c r="E234" s="789" t="s">
        <v>236</v>
      </c>
      <c r="F234" s="789" t="s">
        <v>236</v>
      </c>
      <c r="G234" s="789" t="s">
        <v>236</v>
      </c>
      <c r="H234" s="789" t="s">
        <v>236</v>
      </c>
      <c r="I234" s="789" t="s">
        <v>236</v>
      </c>
      <c r="J234" s="789" t="s">
        <v>236</v>
      </c>
      <c r="K234" s="789" t="s">
        <v>236</v>
      </c>
      <c r="L234" s="789" t="s">
        <v>236</v>
      </c>
      <c r="M234" s="789" t="s">
        <v>236</v>
      </c>
      <c r="N234" s="789" t="s">
        <v>236</v>
      </c>
      <c r="O234" s="789" t="s">
        <v>236</v>
      </c>
      <c r="P234" s="790" t="s">
        <v>236</v>
      </c>
      <c r="Q234" s="790" t="s">
        <v>236</v>
      </c>
      <c r="S234" s="212" t="str">
        <f t="shared" ref="S234:S251" si="589">HLOOKUP($D$6,$E$9:$Q$251,$A234,FALSE)</f>
        <v>Yes/No</v>
      </c>
      <c r="T234" s="169"/>
      <c r="U234" s="239"/>
      <c r="V234" s="167"/>
      <c r="W234" s="167"/>
      <c r="X234" s="168"/>
      <c r="Y234" s="168"/>
      <c r="Z234" s="169"/>
      <c r="AA234" s="213" t="str">
        <f t="shared" ref="AA234:AA247" si="590">S234</f>
        <v>Yes/No</v>
      </c>
      <c r="AC234" s="171"/>
      <c r="AD234" s="240" t="s">
        <v>237</v>
      </c>
      <c r="AE234" s="240" t="s">
        <v>237</v>
      </c>
      <c r="AF234" s="240" t="s">
        <v>237</v>
      </c>
      <c r="AH234" s="214">
        <f>IF(VLOOKUP(D234,'Pre-Assessment Estimator'!$E$11:$AB$224,'Pre-Assessment Estimator'!$G$2,FALSE)&gt;AA234,AA234,VLOOKUP(D234,'Pre-Assessment Estimator'!$E$11:$AB$224,'Pre-Assessment Estimator'!$G$2,FALSE))</f>
        <v>0</v>
      </c>
      <c r="AI234" s="172">
        <f>IF(VLOOKUP(D234,'Pre-Assessment Estimator'!$E$11:$AB$224,'Pre-Assessment Estimator'!$N$2,FALSE)&gt;AA234,AA234,VLOOKUP(D234,'Pre-Assessment Estimator'!$E$11:$AB$224,'Pre-Assessment Estimator'!$N$2,FALSE))</f>
        <v>0</v>
      </c>
      <c r="AJ234" s="172">
        <f>IF(VLOOKUP(D234,'Pre-Assessment Estimator'!$E$11:$AB$224,'Pre-Assessment Estimator'!$U$2,FALSE)&gt;AA234,AA234,VLOOKUP(D234,'Pre-Assessment Estimator'!$E$11:$AB$224,'Pre-Assessment Estimator'!$U$2,FALSE))</f>
        <v>0</v>
      </c>
      <c r="AL234" s="215" t="s">
        <v>13</v>
      </c>
      <c r="AM234" s="216" t="s">
        <v>13</v>
      </c>
      <c r="AN234" s="216" t="s">
        <v>13</v>
      </c>
      <c r="AO234" s="216" t="s">
        <v>13</v>
      </c>
      <c r="AP234" s="217" t="s">
        <v>13</v>
      </c>
      <c r="AR234" s="215" t="s">
        <v>13</v>
      </c>
      <c r="AS234" s="216" t="s">
        <v>13</v>
      </c>
      <c r="AT234" s="216" t="s">
        <v>13</v>
      </c>
      <c r="AU234" s="216" t="s">
        <v>13</v>
      </c>
      <c r="AV234" s="217" t="s">
        <v>13</v>
      </c>
      <c r="AX234" s="174" t="str">
        <f t="shared" ref="AX234" si="591">IF($D$6=$G$9,AR234,AL234)</f>
        <v>Yes</v>
      </c>
      <c r="AY234" s="175" t="str">
        <f t="shared" ref="AY234" si="592">IF($D$6=$G$9,AS234,AM234)</f>
        <v>Yes</v>
      </c>
      <c r="AZ234" s="175" t="str">
        <f t="shared" ref="AZ234" si="593">IF($D$6=$G$9,AT234,AN234)</f>
        <v>Yes</v>
      </c>
      <c r="BA234" s="175" t="str">
        <f t="shared" ref="BA234" si="594">IF($D$6=$G$9,AU234,AO234)</f>
        <v>Yes</v>
      </c>
      <c r="BB234" s="1133" t="str">
        <f t="shared" ref="BB234" si="595">IF($D$6=$G$9,AV234,AP234)</f>
        <v>Yes</v>
      </c>
      <c r="BC234" s="182">
        <f>IF(AH234="Yes",5,0)</f>
        <v>0</v>
      </c>
      <c r="BD234" s="164" t="str">
        <f t="shared" ref="BD234" si="596">VLOOKUP(BC234,$BN$282:$BS$288,6,FALSE)</f>
        <v>Unclassified</v>
      </c>
      <c r="BE234" s="178"/>
      <c r="BF234" s="182">
        <f t="shared" ref="BF234" si="597">IF(AI234="Yes",5,0)</f>
        <v>0</v>
      </c>
      <c r="BG234" s="164" t="str">
        <f t="shared" ref="BG234" si="598">VLOOKUP(BF234,$BN$282:$BS$288,6,FALSE)</f>
        <v>Unclassified</v>
      </c>
      <c r="BH234" s="178"/>
      <c r="BI234" s="182">
        <f t="shared" ref="BI234" si="599">IF(AJ234="Yes",5,0)</f>
        <v>0</v>
      </c>
      <c r="BJ234" s="164" t="str">
        <f t="shared" ref="BJ234" si="600">VLOOKUP(BI234,$BN$282:$BS$288,6,FALSE)</f>
        <v>Unclassified</v>
      </c>
      <c r="BK234" s="178"/>
      <c r="BN234" s="167"/>
      <c r="BO234" s="167"/>
      <c r="BP234" s="167" t="str">
        <f t="shared" si="548"/>
        <v/>
      </c>
      <c r="BQ234" s="167">
        <f t="shared" ref="BQ234:BQ248" si="601">IF(BP234="",9,(IF(AH234=AD_Yes,5,0)))</f>
        <v>9</v>
      </c>
      <c r="BR234" s="167">
        <f t="shared" ref="BR234:BR248" si="602">IF(BP234="",9,(IF(AI234=AD_Yes,5,0)))</f>
        <v>9</v>
      </c>
      <c r="BS234" s="167">
        <f t="shared" ref="BS234:BS248" si="603">IF(BP234="",9,(IF(AJ234=AD_Yes,5,0)))</f>
        <v>9</v>
      </c>
      <c r="BV234" s="152"/>
      <c r="BW234" s="152"/>
      <c r="BX234" s="152"/>
      <c r="BY234" s="152"/>
      <c r="BZ234" s="152"/>
      <c r="CA234" s="152"/>
    </row>
    <row r="235" spans="1:80" x14ac:dyDescent="0.25">
      <c r="A235" s="96">
        <v>227</v>
      </c>
      <c r="B235" s="96" t="s">
        <v>737</v>
      </c>
      <c r="C235" s="1126" t="s">
        <v>737</v>
      </c>
      <c r="D235" s="1127" t="s">
        <v>611</v>
      </c>
      <c r="E235" s="1128" t="s">
        <v>236</v>
      </c>
      <c r="F235" s="1128" t="s">
        <v>236</v>
      </c>
      <c r="G235" s="1128" t="s">
        <v>236</v>
      </c>
      <c r="H235" s="1128" t="s">
        <v>236</v>
      </c>
      <c r="I235" s="1128" t="s">
        <v>236</v>
      </c>
      <c r="J235" s="1128" t="s">
        <v>236</v>
      </c>
      <c r="K235" s="1128" t="s">
        <v>236</v>
      </c>
      <c r="L235" s="1128" t="s">
        <v>236</v>
      </c>
      <c r="M235" s="1128" t="s">
        <v>236</v>
      </c>
      <c r="N235" s="1128" t="s">
        <v>236</v>
      </c>
      <c r="O235" s="1128" t="s">
        <v>236</v>
      </c>
      <c r="P235" s="1129" t="s">
        <v>236</v>
      </c>
      <c r="Q235" s="1129" t="s">
        <v>236</v>
      </c>
      <c r="S235" s="212" t="str">
        <f t="shared" si="589"/>
        <v>Yes/No</v>
      </c>
      <c r="T235" s="169"/>
      <c r="U235" s="239"/>
      <c r="V235" s="167"/>
      <c r="W235" s="167"/>
      <c r="X235" s="168"/>
      <c r="Y235" s="168"/>
      <c r="Z235" s="169"/>
      <c r="AA235" s="1037" t="str">
        <f>IF(Hea02_credits=0,0,S235)</f>
        <v>Yes/No</v>
      </c>
      <c r="AC235" s="171"/>
      <c r="AD235" s="240" t="s">
        <v>237</v>
      </c>
      <c r="AE235" s="240" t="s">
        <v>237</v>
      </c>
      <c r="AF235" s="240" t="s">
        <v>237</v>
      </c>
      <c r="AH235" s="214">
        <f>IF(VLOOKUP(D235,'Pre-Assessment Estimator'!$E$11:$AB$224,'Pre-Assessment Estimator'!$G$2,FALSE)&gt;AA235,AA235,VLOOKUP(D235,'Pre-Assessment Estimator'!$E$11:$AB$224,'Pre-Assessment Estimator'!$G$2,FALSE))</f>
        <v>0</v>
      </c>
      <c r="AI235" s="172">
        <f>IF(VLOOKUP(D235,'Pre-Assessment Estimator'!$E$11:$AB$224,'Pre-Assessment Estimator'!$N$2,FALSE)&gt;AA235,AA235,VLOOKUP(D235,'Pre-Assessment Estimator'!$E$11:$AB$224,'Pre-Assessment Estimator'!$N$2,FALSE))</f>
        <v>0</v>
      </c>
      <c r="AJ235" s="172">
        <f>IF(VLOOKUP(D235,'Pre-Assessment Estimator'!$E$11:$AB$224,'Pre-Assessment Estimator'!$U$2,FALSE)&gt;AA235,AA235,VLOOKUP(D235,'Pre-Assessment Estimator'!$E$11:$AB$224,'Pre-Assessment Estimator'!$U$2,FALSE))</f>
        <v>0</v>
      </c>
      <c r="AL235" s="312" t="s">
        <v>13</v>
      </c>
      <c r="AM235" s="179" t="s">
        <v>13</v>
      </c>
      <c r="AN235" s="179" t="s">
        <v>13</v>
      </c>
      <c r="AO235" s="179" t="s">
        <v>13</v>
      </c>
      <c r="AP235" s="180" t="s">
        <v>13</v>
      </c>
      <c r="AR235" s="1130" t="s">
        <v>13</v>
      </c>
      <c r="AS235" s="1131" t="s">
        <v>13</v>
      </c>
      <c r="AT235" s="1131" t="s">
        <v>13</v>
      </c>
      <c r="AU235" s="1131" t="s">
        <v>13</v>
      </c>
      <c r="AV235" s="1132" t="s">
        <v>13</v>
      </c>
      <c r="AX235" s="841" t="str">
        <f t="shared" ref="AX235:BA236" si="604">IF($D$6=$G$9,AR235,AL235)</f>
        <v>Yes</v>
      </c>
      <c r="AY235" s="842" t="str">
        <f t="shared" si="604"/>
        <v>Yes</v>
      </c>
      <c r="AZ235" s="842" t="str">
        <f t="shared" si="604"/>
        <v>Yes</v>
      </c>
      <c r="BA235" s="842" t="str">
        <f t="shared" si="604"/>
        <v>Yes</v>
      </c>
      <c r="BB235" s="861" t="str">
        <f t="shared" ref="BB235:BB247" si="605">IF($D$6=$G$9,AV235,AP235)</f>
        <v>Yes</v>
      </c>
      <c r="BC235" s="182">
        <f>IF(Hea02_credits=0,9,IF(AND(AH235="Yes",AH142=1),5,0))</f>
        <v>0</v>
      </c>
      <c r="BD235" s="164" t="str">
        <f t="shared" ref="BD235:BD249" si="606">VLOOKUP(BC235,$BN$282:$BS$288,6,FALSE)</f>
        <v>Unclassified</v>
      </c>
      <c r="BE235" s="843"/>
      <c r="BF235" s="182">
        <f>IF(Hea02_credits=0,9,IF(AND(AI235="Yes",AI142=1),5,0))</f>
        <v>0</v>
      </c>
      <c r="BG235" s="164" t="str">
        <f t="shared" ref="BG235:BG249" si="607">VLOOKUP(BF235,$BN$282:$BS$288,6,FALSE)</f>
        <v>Unclassified</v>
      </c>
      <c r="BH235" s="843"/>
      <c r="BI235" s="182">
        <f>IF(Hea02_credits=0,9,IF(AND(AJ235="Yes",AJ142=1),5,0))</f>
        <v>0</v>
      </c>
      <c r="BJ235" s="164" t="str">
        <f t="shared" ref="BJ235:BJ249" si="608">VLOOKUP(BI235,$BN$282:$BS$288,6,FALSE)</f>
        <v>Unclassified</v>
      </c>
      <c r="BK235" s="843"/>
      <c r="BN235" s="167"/>
      <c r="BO235" s="167"/>
      <c r="BP235" s="167" t="str">
        <f t="shared" si="548"/>
        <v/>
      </c>
      <c r="BQ235" s="167">
        <f t="shared" si="601"/>
        <v>9</v>
      </c>
      <c r="BR235" s="167">
        <f t="shared" si="602"/>
        <v>9</v>
      </c>
      <c r="BS235" s="167">
        <f t="shared" si="603"/>
        <v>9</v>
      </c>
      <c r="BV235" s="177"/>
      <c r="BW235" s="177"/>
      <c r="BX235" s="177">
        <f>IFERROR(VLOOKUP($D235,'Pre-Assessment Estimator'!$E$11:$AI$224,'Pre-Assessment Estimator'!AI$2,FALSE),"")</f>
        <v>0</v>
      </c>
      <c r="BY235" s="177" t="str">
        <f>IFERROR(VLOOKUP($BW235,$D$291:$G$324,E$289,FALSE),"")</f>
        <v/>
      </c>
      <c r="BZ235" s="177" t="str">
        <f>IFERROR(VLOOKUP($BW235,$D$291:$G$324,F$289,FALSE),"")</f>
        <v/>
      </c>
      <c r="CA235" s="177"/>
      <c r="CB235" s="96" t="str">
        <f>IFERROR(VLOOKUP($BW235,$D$291:$G$324,H$289,FALSE),"")</f>
        <v/>
      </c>
    </row>
    <row r="236" spans="1:80" ht="15.75" thickBot="1" x14ac:dyDescent="0.3">
      <c r="A236" s="96">
        <v>228</v>
      </c>
      <c r="B236" s="96" t="s">
        <v>744</v>
      </c>
      <c r="C236" s="222" t="s">
        <v>744</v>
      </c>
      <c r="D236" s="991" t="s">
        <v>618</v>
      </c>
      <c r="E236" s="782" t="s">
        <v>236</v>
      </c>
      <c r="F236" s="782" t="s">
        <v>236</v>
      </c>
      <c r="G236" s="782" t="s">
        <v>236</v>
      </c>
      <c r="H236" s="782" t="s">
        <v>236</v>
      </c>
      <c r="I236" s="782" t="s">
        <v>236</v>
      </c>
      <c r="J236" s="782" t="s">
        <v>236</v>
      </c>
      <c r="K236" s="782" t="s">
        <v>236</v>
      </c>
      <c r="L236" s="782" t="s">
        <v>236</v>
      </c>
      <c r="M236" s="782" t="s">
        <v>236</v>
      </c>
      <c r="N236" s="782" t="s">
        <v>236</v>
      </c>
      <c r="O236" s="782" t="s">
        <v>236</v>
      </c>
      <c r="P236" s="783" t="s">
        <v>236</v>
      </c>
      <c r="Q236" s="783" t="s">
        <v>236</v>
      </c>
      <c r="S236" s="221" t="str">
        <f t="shared" si="589"/>
        <v>Yes/No</v>
      </c>
      <c r="T236" s="241"/>
      <c r="U236" s="239"/>
      <c r="V236" s="167"/>
      <c r="W236" s="167"/>
      <c r="X236" s="168"/>
      <c r="Y236" s="168"/>
      <c r="Z236" s="169"/>
      <c r="AA236" s="213" t="str">
        <f t="shared" si="590"/>
        <v>Yes/No</v>
      </c>
      <c r="AC236" s="171"/>
      <c r="AD236" s="240" t="s">
        <v>237</v>
      </c>
      <c r="AE236" s="240" t="s">
        <v>237</v>
      </c>
      <c r="AF236" s="240" t="s">
        <v>237</v>
      </c>
      <c r="AH236" s="214">
        <f>IF(VLOOKUP(D236,'Pre-Assessment Estimator'!$E$11:$AB$224,'Pre-Assessment Estimator'!$G$2,FALSE)&gt;AA236,AA236,VLOOKUP(D236,'Pre-Assessment Estimator'!$E$11:$AB$224,'Pre-Assessment Estimator'!$G$2,FALSE))</f>
        <v>0</v>
      </c>
      <c r="AI236" s="172">
        <f>IF(VLOOKUP(D236,'Pre-Assessment Estimator'!$E$11:$AB$224,'Pre-Assessment Estimator'!$N$2,FALSE)&gt;AA236,AA236,VLOOKUP(D236,'Pre-Assessment Estimator'!$E$11:$AB$224,'Pre-Assessment Estimator'!$N$2,FALSE))</f>
        <v>0</v>
      </c>
      <c r="AJ236" s="172">
        <f>IF(VLOOKUP(D236,'Pre-Assessment Estimator'!$E$11:$AB$224,'Pre-Assessment Estimator'!$U$2,FALSE)&gt;AA236,AA236,VLOOKUP(D236,'Pre-Assessment Estimator'!$E$11:$AB$224,'Pre-Assessment Estimator'!$U$2,FALSE))</f>
        <v>0</v>
      </c>
      <c r="AL236" s="312"/>
      <c r="AM236" s="179"/>
      <c r="AN236" s="179"/>
      <c r="AO236" s="179"/>
      <c r="AP236" s="180"/>
      <c r="AR236" s="312"/>
      <c r="AS236" s="179"/>
      <c r="AT236" s="179"/>
      <c r="AU236" s="179"/>
      <c r="AV236" s="180"/>
      <c r="AX236" s="182">
        <f t="shared" si="604"/>
        <v>0</v>
      </c>
      <c r="AY236" s="183">
        <f t="shared" si="604"/>
        <v>0</v>
      </c>
      <c r="AZ236" s="183">
        <f t="shared" si="604"/>
        <v>0</v>
      </c>
      <c r="BA236" s="183">
        <f t="shared" si="604"/>
        <v>0</v>
      </c>
      <c r="BB236" s="187">
        <f t="shared" si="605"/>
        <v>0</v>
      </c>
      <c r="BC236" s="1137">
        <v>9</v>
      </c>
      <c r="BD236" s="164" t="str">
        <f t="shared" si="606"/>
        <v>N/A</v>
      </c>
      <c r="BE236" s="185"/>
      <c r="BF236" s="1137">
        <v>9</v>
      </c>
      <c r="BG236" s="164" t="str">
        <f t="shared" si="607"/>
        <v>N/A</v>
      </c>
      <c r="BH236" s="185"/>
      <c r="BI236" s="1137">
        <v>9</v>
      </c>
      <c r="BJ236" s="164" t="str">
        <f t="shared" si="608"/>
        <v>N/A</v>
      </c>
      <c r="BK236" s="185"/>
      <c r="BN236" s="167"/>
      <c r="BO236" s="167"/>
      <c r="BP236" s="167" t="str">
        <f t="shared" si="548"/>
        <v/>
      </c>
      <c r="BQ236" s="167">
        <f t="shared" si="601"/>
        <v>9</v>
      </c>
      <c r="BR236" s="167">
        <f t="shared" si="602"/>
        <v>9</v>
      </c>
      <c r="BS236" s="167">
        <f t="shared" si="603"/>
        <v>9</v>
      </c>
      <c r="BV236" s="167"/>
      <c r="BW236" s="167"/>
      <c r="BX236" s="167">
        <f>IFERROR(VLOOKUP($D236,'Pre-Assessment Estimator'!$E$11:$AI$224,'Pre-Assessment Estimator'!AI$2,FALSE),"")</f>
        <v>0</v>
      </c>
      <c r="BY236" s="167" t="str">
        <f>IFERROR(VLOOKUP($BW236,$D$291:$G$324,E$289,FALSE),"")</f>
        <v/>
      </c>
      <c r="BZ236" s="167" t="str">
        <f>IFERROR(VLOOKUP($BW236,$D$291:$G$324,F$289,FALSE),"")</f>
        <v/>
      </c>
      <c r="CA236" s="167"/>
      <c r="CB236" s="96" t="str">
        <f>IFERROR(VLOOKUP($BW236,$D$291:$G$324,H$289,FALSE),"")</f>
        <v/>
      </c>
    </row>
    <row r="237" spans="1:80" ht="15.75" thickBot="1" x14ac:dyDescent="0.3">
      <c r="A237" s="96">
        <v>229</v>
      </c>
      <c r="B237" s="96" t="s">
        <v>774</v>
      </c>
      <c r="C237" s="739" t="s">
        <v>774</v>
      </c>
      <c r="D237" s="985" t="s">
        <v>649</v>
      </c>
      <c r="E237" s="784" t="s">
        <v>236</v>
      </c>
      <c r="F237" s="784" t="s">
        <v>236</v>
      </c>
      <c r="G237" s="784" t="s">
        <v>236</v>
      </c>
      <c r="H237" s="784" t="s">
        <v>236</v>
      </c>
      <c r="I237" s="784" t="s">
        <v>236</v>
      </c>
      <c r="J237" s="784" t="s">
        <v>236</v>
      </c>
      <c r="K237" s="784" t="s">
        <v>236</v>
      </c>
      <c r="L237" s="784" t="s">
        <v>236</v>
      </c>
      <c r="M237" s="784" t="s">
        <v>236</v>
      </c>
      <c r="N237" s="784" t="s">
        <v>236</v>
      </c>
      <c r="O237" s="784" t="s">
        <v>236</v>
      </c>
      <c r="P237" s="785" t="s">
        <v>236</v>
      </c>
      <c r="Q237" s="785" t="s">
        <v>236</v>
      </c>
      <c r="S237" s="221" t="str">
        <f t="shared" si="589"/>
        <v>Yes/No</v>
      </c>
      <c r="T237" s="241"/>
      <c r="U237" s="239"/>
      <c r="V237" s="167"/>
      <c r="W237" s="167"/>
      <c r="X237" s="168"/>
      <c r="Y237" s="168"/>
      <c r="Z237" s="169"/>
      <c r="AA237" s="213" t="str">
        <f t="shared" si="590"/>
        <v>Yes/No</v>
      </c>
      <c r="AC237" s="171"/>
      <c r="AD237" s="240" t="s">
        <v>237</v>
      </c>
      <c r="AE237" s="240" t="s">
        <v>237</v>
      </c>
      <c r="AF237" s="240" t="s">
        <v>237</v>
      </c>
      <c r="AH237" s="214">
        <f>IF(VLOOKUP(D237,'Pre-Assessment Estimator'!$E$11:$AB$224,'Pre-Assessment Estimator'!$G$2,FALSE)&gt;AA237,AA237,VLOOKUP(D237,'Pre-Assessment Estimator'!$E$11:$AB$224,'Pre-Assessment Estimator'!$G$2,FALSE))</f>
        <v>0</v>
      </c>
      <c r="AI237" s="172">
        <f>IF(VLOOKUP(D237,'Pre-Assessment Estimator'!$E$11:$AB$224,'Pre-Assessment Estimator'!$N$2,FALSE)&gt;AA237,AA237,VLOOKUP(D237,'Pre-Assessment Estimator'!$E$11:$AB$224,'Pre-Assessment Estimator'!$N$2,FALSE))</f>
        <v>0</v>
      </c>
      <c r="AJ237" s="172">
        <f>IF(VLOOKUP(D237,'Pre-Assessment Estimator'!$E$11:$AB$224,'Pre-Assessment Estimator'!$U$2,FALSE)&gt;AA237,AA237,VLOOKUP(D237,'Pre-Assessment Estimator'!$E$11:$AB$224,'Pre-Assessment Estimator'!$U$2,FALSE))</f>
        <v>0</v>
      </c>
      <c r="AL237" s="982" t="s">
        <v>13</v>
      </c>
      <c r="AM237" s="983" t="s">
        <v>13</v>
      </c>
      <c r="AN237" s="983" t="s">
        <v>13</v>
      </c>
      <c r="AO237" s="983" t="s">
        <v>13</v>
      </c>
      <c r="AP237" s="984" t="s">
        <v>13</v>
      </c>
      <c r="AQ237" s="130"/>
      <c r="AR237" s="982" t="s">
        <v>13</v>
      </c>
      <c r="AS237" s="983" t="s">
        <v>13</v>
      </c>
      <c r="AT237" s="983" t="s">
        <v>13</v>
      </c>
      <c r="AU237" s="983" t="s">
        <v>13</v>
      </c>
      <c r="AV237" s="984" t="s">
        <v>13</v>
      </c>
      <c r="AX237" s="182" t="str">
        <f t="shared" ref="AX237" si="609">IF($D$6=$G$9,AR237,AL237)</f>
        <v>Yes</v>
      </c>
      <c r="AY237" s="183" t="str">
        <f t="shared" ref="AY237" si="610">IF($D$6=$G$9,AS237,AM237)</f>
        <v>Yes</v>
      </c>
      <c r="AZ237" s="183" t="str">
        <f t="shared" ref="AZ237" si="611">IF($D$6=$G$9,AT237,AN237)</f>
        <v>Yes</v>
      </c>
      <c r="BA237" s="183" t="str">
        <f t="shared" ref="BA237" si="612">IF($D$6=$G$9,AU237,AO237)</f>
        <v>Yes</v>
      </c>
      <c r="BB237" s="187" t="str">
        <f t="shared" si="605"/>
        <v>Yes</v>
      </c>
      <c r="BC237" s="182">
        <f t="shared" ref="BC237:BC239" si="613">IF(AH237="Yes",5,0)</f>
        <v>0</v>
      </c>
      <c r="BD237" s="164" t="str">
        <f t="shared" si="606"/>
        <v>Unclassified</v>
      </c>
      <c r="BE237" s="185"/>
      <c r="BF237" s="182">
        <f t="shared" ref="BF237:BF239" si="614">IF(AI237="Yes",5,0)</f>
        <v>0</v>
      </c>
      <c r="BG237" s="164" t="str">
        <f t="shared" si="607"/>
        <v>Unclassified</v>
      </c>
      <c r="BH237" s="185"/>
      <c r="BI237" s="182">
        <f t="shared" ref="BI237:BI239" si="615">IF(AJ237="Yes",5,0)</f>
        <v>0</v>
      </c>
      <c r="BJ237" s="164" t="str">
        <f t="shared" si="608"/>
        <v>Unclassified</v>
      </c>
      <c r="BK237" s="185"/>
      <c r="BN237" s="167"/>
      <c r="BO237" s="167" t="s">
        <v>13</v>
      </c>
      <c r="BP237" s="167" t="str">
        <f t="shared" si="548"/>
        <v>Yes</v>
      </c>
      <c r="BQ237" s="167">
        <f t="shared" si="601"/>
        <v>0</v>
      </c>
      <c r="BR237" s="167">
        <f t="shared" si="602"/>
        <v>0</v>
      </c>
      <c r="BS237" s="167">
        <f t="shared" si="603"/>
        <v>0</v>
      </c>
      <c r="BV237" s="193"/>
      <c r="BW237" s="193"/>
      <c r="BX237" s="193"/>
      <c r="BY237" s="193"/>
      <c r="BZ237" s="193"/>
      <c r="CA237" s="193"/>
    </row>
    <row r="238" spans="1:80" ht="15.75" thickBot="1" x14ac:dyDescent="0.3">
      <c r="A238" s="96">
        <v>230</v>
      </c>
      <c r="B238" s="96" t="s">
        <v>777</v>
      </c>
      <c r="C238" s="739" t="s">
        <v>777</v>
      </c>
      <c r="D238" s="986" t="s">
        <v>994</v>
      </c>
      <c r="E238" s="784" t="s">
        <v>236</v>
      </c>
      <c r="F238" s="784" t="s">
        <v>236</v>
      </c>
      <c r="G238" s="784" t="s">
        <v>236</v>
      </c>
      <c r="H238" s="784" t="s">
        <v>236</v>
      </c>
      <c r="I238" s="784" t="s">
        <v>236</v>
      </c>
      <c r="J238" s="784" t="s">
        <v>236</v>
      </c>
      <c r="K238" s="784" t="s">
        <v>236</v>
      </c>
      <c r="L238" s="784" t="s">
        <v>236</v>
      </c>
      <c r="M238" s="784" t="s">
        <v>236</v>
      </c>
      <c r="N238" s="784" t="s">
        <v>236</v>
      </c>
      <c r="O238" s="784" t="s">
        <v>236</v>
      </c>
      <c r="P238" s="785" t="s">
        <v>236</v>
      </c>
      <c r="Q238" s="785" t="s">
        <v>236</v>
      </c>
      <c r="S238" s="221" t="str">
        <f t="shared" si="589"/>
        <v>Yes/No</v>
      </c>
      <c r="T238" s="241"/>
      <c r="U238" s="239"/>
      <c r="V238" s="167"/>
      <c r="W238" s="167"/>
      <c r="X238" s="168"/>
      <c r="Y238" s="168"/>
      <c r="Z238" s="169"/>
      <c r="AA238" s="213" t="str">
        <f t="shared" si="590"/>
        <v>Yes/No</v>
      </c>
      <c r="AC238" s="171"/>
      <c r="AD238" s="240" t="s">
        <v>237</v>
      </c>
      <c r="AE238" s="240" t="s">
        <v>237</v>
      </c>
      <c r="AF238" s="240" t="s">
        <v>237</v>
      </c>
      <c r="AH238" s="214">
        <f>IF(VLOOKUP(D238,'Pre-Assessment Estimator'!$E$11:$AB$224,'Pre-Assessment Estimator'!$G$2,FALSE)&gt;AA238,AA238,VLOOKUP(D238,'Pre-Assessment Estimator'!$E$11:$AB$224,'Pre-Assessment Estimator'!$G$2,FALSE))</f>
        <v>0</v>
      </c>
      <c r="AI238" s="172">
        <f>IF(VLOOKUP(D238,'Pre-Assessment Estimator'!$E$11:$AB$224,'Pre-Assessment Estimator'!$N$2,FALSE)&gt;AA238,AA238,VLOOKUP(D238,'Pre-Assessment Estimator'!$E$11:$AB$224,'Pre-Assessment Estimator'!$N$2,FALSE))</f>
        <v>0</v>
      </c>
      <c r="AJ238" s="172">
        <f>IF(VLOOKUP(D238,'Pre-Assessment Estimator'!$E$11:$AB$224,'Pre-Assessment Estimator'!$U$2,FALSE)&gt;AA238,AA238,VLOOKUP(D238,'Pre-Assessment Estimator'!$E$11:$AB$224,'Pre-Assessment Estimator'!$U$2,FALSE))</f>
        <v>0</v>
      </c>
      <c r="AL238" s="979" t="s">
        <v>13</v>
      </c>
      <c r="AM238" s="980" t="s">
        <v>13</v>
      </c>
      <c r="AN238" s="980" t="s">
        <v>13</v>
      </c>
      <c r="AO238" s="980" t="s">
        <v>13</v>
      </c>
      <c r="AP238" s="981" t="s">
        <v>13</v>
      </c>
      <c r="AQ238" s="137"/>
      <c r="AR238" s="979" t="s">
        <v>13</v>
      </c>
      <c r="AS238" s="980" t="s">
        <v>13</v>
      </c>
      <c r="AT238" s="980" t="s">
        <v>13</v>
      </c>
      <c r="AU238" s="980" t="s">
        <v>13</v>
      </c>
      <c r="AV238" s="981" t="s">
        <v>13</v>
      </c>
      <c r="AX238" s="182" t="str">
        <f t="shared" ref="AX238:AX243" si="616">IF($D$6=$G$9,AR238,AL238)</f>
        <v>Yes</v>
      </c>
      <c r="AY238" s="183" t="str">
        <f t="shared" ref="AY238:AY243" si="617">IF($D$6=$G$9,AS238,AM238)</f>
        <v>Yes</v>
      </c>
      <c r="AZ238" s="183" t="str">
        <f t="shared" ref="AZ238:AZ243" si="618">IF($D$6=$G$9,AT238,AN238)</f>
        <v>Yes</v>
      </c>
      <c r="BA238" s="183" t="str">
        <f t="shared" ref="BA238:BA243" si="619">IF($D$6=$G$9,AU238,AO238)</f>
        <v>Yes</v>
      </c>
      <c r="BB238" s="187" t="str">
        <f t="shared" si="605"/>
        <v>Yes</v>
      </c>
      <c r="BC238" s="182">
        <f t="shared" si="613"/>
        <v>0</v>
      </c>
      <c r="BD238" s="164" t="str">
        <f t="shared" si="606"/>
        <v>Unclassified</v>
      </c>
      <c r="BE238" s="185"/>
      <c r="BF238" s="182">
        <f t="shared" si="614"/>
        <v>0</v>
      </c>
      <c r="BG238" s="164" t="str">
        <f t="shared" si="607"/>
        <v>Unclassified</v>
      </c>
      <c r="BH238" s="185"/>
      <c r="BI238" s="182">
        <f t="shared" si="615"/>
        <v>0</v>
      </c>
      <c r="BJ238" s="164" t="str">
        <f t="shared" si="608"/>
        <v>Unclassified</v>
      </c>
      <c r="BK238" s="185"/>
      <c r="BN238" s="167"/>
      <c r="BO238" s="167" t="s">
        <v>13</v>
      </c>
      <c r="BP238" s="167" t="str">
        <f t="shared" si="548"/>
        <v>Yes</v>
      </c>
      <c r="BQ238" s="167">
        <f t="shared" si="601"/>
        <v>0</v>
      </c>
      <c r="BR238" s="167">
        <f t="shared" si="602"/>
        <v>0</v>
      </c>
      <c r="BS238" s="167">
        <f t="shared" si="603"/>
        <v>0</v>
      </c>
      <c r="BV238" s="193"/>
      <c r="BW238" s="193"/>
      <c r="BX238" s="193"/>
      <c r="BY238" s="193"/>
      <c r="BZ238" s="193"/>
      <c r="CA238" s="193"/>
    </row>
    <row r="239" spans="1:80" ht="15.75" thickBot="1" x14ac:dyDescent="0.3">
      <c r="A239" s="96">
        <v>231</v>
      </c>
      <c r="B239" s="96" t="s">
        <v>780</v>
      </c>
      <c r="C239" s="739" t="s">
        <v>780</v>
      </c>
      <c r="D239" s="986" t="s">
        <v>995</v>
      </c>
      <c r="E239" s="784" t="s">
        <v>236</v>
      </c>
      <c r="F239" s="784" t="s">
        <v>236</v>
      </c>
      <c r="G239" s="784" t="s">
        <v>236</v>
      </c>
      <c r="H239" s="784" t="s">
        <v>236</v>
      </c>
      <c r="I239" s="784" t="s">
        <v>236</v>
      </c>
      <c r="J239" s="784" t="s">
        <v>236</v>
      </c>
      <c r="K239" s="784" t="s">
        <v>236</v>
      </c>
      <c r="L239" s="784" t="s">
        <v>236</v>
      </c>
      <c r="M239" s="784" t="s">
        <v>236</v>
      </c>
      <c r="N239" s="784" t="s">
        <v>236</v>
      </c>
      <c r="O239" s="784" t="s">
        <v>236</v>
      </c>
      <c r="P239" s="785" t="s">
        <v>236</v>
      </c>
      <c r="Q239" s="785" t="s">
        <v>236</v>
      </c>
      <c r="S239" s="221" t="str">
        <f t="shared" si="589"/>
        <v>Yes/No</v>
      </c>
      <c r="T239" s="241"/>
      <c r="U239" s="239"/>
      <c r="V239" s="167"/>
      <c r="W239" s="167"/>
      <c r="X239" s="168"/>
      <c r="Y239" s="168"/>
      <c r="Z239" s="169"/>
      <c r="AA239" s="213" t="str">
        <f t="shared" si="590"/>
        <v>Yes/No</v>
      </c>
      <c r="AC239" s="171"/>
      <c r="AD239" s="240" t="s">
        <v>237</v>
      </c>
      <c r="AE239" s="240" t="s">
        <v>237</v>
      </c>
      <c r="AF239" s="240" t="s">
        <v>237</v>
      </c>
      <c r="AH239" s="214">
        <f>IF(VLOOKUP(D239,'Pre-Assessment Estimator'!$E$11:$AB$224,'Pre-Assessment Estimator'!$G$2,FALSE)&gt;AA239,AA239,VLOOKUP(D239,'Pre-Assessment Estimator'!$E$11:$AB$224,'Pre-Assessment Estimator'!$G$2,FALSE))</f>
        <v>0</v>
      </c>
      <c r="AI239" s="172">
        <f>IF(VLOOKUP(D239,'Pre-Assessment Estimator'!$E$11:$AB$224,'Pre-Assessment Estimator'!$N$2,FALSE)&gt;AA239,AA239,VLOOKUP(D239,'Pre-Assessment Estimator'!$E$11:$AB$224,'Pre-Assessment Estimator'!$N$2,FALSE))</f>
        <v>0</v>
      </c>
      <c r="AJ239" s="172">
        <f>IF(VLOOKUP(D239,'Pre-Assessment Estimator'!$E$11:$AB$224,'Pre-Assessment Estimator'!$U$2,FALSE)&gt;AA239,AA239,VLOOKUP(D239,'Pre-Assessment Estimator'!$E$11:$AB$224,'Pre-Assessment Estimator'!$U$2,FALSE))</f>
        <v>0</v>
      </c>
      <c r="AL239" s="979" t="s">
        <v>13</v>
      </c>
      <c r="AM239" s="980" t="s">
        <v>13</v>
      </c>
      <c r="AN239" s="980" t="s">
        <v>13</v>
      </c>
      <c r="AO239" s="980" t="s">
        <v>13</v>
      </c>
      <c r="AP239" s="981" t="s">
        <v>13</v>
      </c>
      <c r="AQ239" s="137"/>
      <c r="AR239" s="979" t="s">
        <v>13</v>
      </c>
      <c r="AS239" s="980" t="s">
        <v>13</v>
      </c>
      <c r="AT239" s="980" t="s">
        <v>13</v>
      </c>
      <c r="AU239" s="980" t="s">
        <v>13</v>
      </c>
      <c r="AV239" s="981" t="s">
        <v>13</v>
      </c>
      <c r="AX239" s="182" t="str">
        <f t="shared" si="616"/>
        <v>Yes</v>
      </c>
      <c r="AY239" s="183" t="str">
        <f t="shared" si="617"/>
        <v>Yes</v>
      </c>
      <c r="AZ239" s="183" t="str">
        <f t="shared" si="618"/>
        <v>Yes</v>
      </c>
      <c r="BA239" s="183" t="str">
        <f t="shared" si="619"/>
        <v>Yes</v>
      </c>
      <c r="BB239" s="187" t="str">
        <f t="shared" si="605"/>
        <v>Yes</v>
      </c>
      <c r="BC239" s="182">
        <f t="shared" si="613"/>
        <v>0</v>
      </c>
      <c r="BD239" s="164" t="str">
        <f t="shared" si="606"/>
        <v>Unclassified</v>
      </c>
      <c r="BE239" s="185"/>
      <c r="BF239" s="182">
        <f t="shared" si="614"/>
        <v>0</v>
      </c>
      <c r="BG239" s="164" t="str">
        <f t="shared" si="607"/>
        <v>Unclassified</v>
      </c>
      <c r="BH239" s="185"/>
      <c r="BI239" s="182">
        <f t="shared" si="615"/>
        <v>0</v>
      </c>
      <c r="BJ239" s="164" t="str">
        <f t="shared" si="608"/>
        <v>Unclassified</v>
      </c>
      <c r="BK239" s="185"/>
      <c r="BN239" s="167"/>
      <c r="BO239" s="167"/>
      <c r="BP239" s="167" t="str">
        <f t="shared" si="548"/>
        <v/>
      </c>
      <c r="BQ239" s="167">
        <f t="shared" si="601"/>
        <v>9</v>
      </c>
      <c r="BR239" s="167">
        <f t="shared" si="602"/>
        <v>9</v>
      </c>
      <c r="BS239" s="167">
        <f t="shared" si="603"/>
        <v>9</v>
      </c>
      <c r="BV239" s="193"/>
      <c r="BW239" s="193"/>
      <c r="BX239" s="193"/>
      <c r="BY239" s="193"/>
      <c r="BZ239" s="193"/>
      <c r="CA239" s="193"/>
    </row>
    <row r="240" spans="1:80" ht="15.75" thickBot="1" x14ac:dyDescent="0.3">
      <c r="A240" s="96">
        <v>232</v>
      </c>
      <c r="B240" s="96" t="s">
        <v>783</v>
      </c>
      <c r="C240" s="739" t="s">
        <v>783</v>
      </c>
      <c r="D240" s="986" t="s">
        <v>658</v>
      </c>
      <c r="E240" s="784" t="s">
        <v>236</v>
      </c>
      <c r="F240" s="784" t="s">
        <v>236</v>
      </c>
      <c r="G240" s="784" t="s">
        <v>236</v>
      </c>
      <c r="H240" s="784" t="s">
        <v>236</v>
      </c>
      <c r="I240" s="784" t="s">
        <v>236</v>
      </c>
      <c r="J240" s="784" t="s">
        <v>236</v>
      </c>
      <c r="K240" s="784" t="s">
        <v>236</v>
      </c>
      <c r="L240" s="784" t="s">
        <v>236</v>
      </c>
      <c r="M240" s="784" t="s">
        <v>236</v>
      </c>
      <c r="N240" s="784" t="s">
        <v>236</v>
      </c>
      <c r="O240" s="784" t="s">
        <v>236</v>
      </c>
      <c r="P240" s="785" t="s">
        <v>236</v>
      </c>
      <c r="Q240" s="785" t="s">
        <v>236</v>
      </c>
      <c r="S240" s="221" t="str">
        <f t="shared" si="589"/>
        <v>Yes/No</v>
      </c>
      <c r="T240" s="241"/>
      <c r="U240" s="239"/>
      <c r="V240" s="167"/>
      <c r="W240" s="167"/>
      <c r="X240" s="168"/>
      <c r="Y240" s="168"/>
      <c r="Z240" s="169"/>
      <c r="AA240" s="213" t="str">
        <f t="shared" si="590"/>
        <v>Yes/No</v>
      </c>
      <c r="AC240" s="171"/>
      <c r="AD240" s="240" t="s">
        <v>237</v>
      </c>
      <c r="AE240" s="240" t="s">
        <v>237</v>
      </c>
      <c r="AF240" s="240" t="s">
        <v>237</v>
      </c>
      <c r="AH240" s="214">
        <f>IF(VLOOKUP(D240,'Pre-Assessment Estimator'!$E$11:$AB$224,'Pre-Assessment Estimator'!$G$2,FALSE)&gt;AA240,AA240,VLOOKUP(D240,'Pre-Assessment Estimator'!$E$11:$AB$224,'Pre-Assessment Estimator'!$G$2,FALSE))</f>
        <v>0</v>
      </c>
      <c r="AI240" s="172">
        <f>IF(VLOOKUP(D240,'Pre-Assessment Estimator'!$E$11:$AB$224,'Pre-Assessment Estimator'!$N$2,FALSE)&gt;AA240,AA240,VLOOKUP(D240,'Pre-Assessment Estimator'!$E$11:$AB$224,'Pre-Assessment Estimator'!$N$2,FALSE))</f>
        <v>0</v>
      </c>
      <c r="AJ240" s="172">
        <f>IF(VLOOKUP(D240,'Pre-Assessment Estimator'!$E$11:$AB$224,'Pre-Assessment Estimator'!$U$2,FALSE)&gt;AA240,AA240,VLOOKUP(D240,'Pre-Assessment Estimator'!$E$11:$AB$224,'Pre-Assessment Estimator'!$U$2,FALSE))</f>
        <v>0</v>
      </c>
      <c r="AL240" s="740"/>
      <c r="AM240" s="232"/>
      <c r="AN240" s="232"/>
      <c r="AO240" s="232"/>
      <c r="AP240" s="233"/>
      <c r="AR240" s="740"/>
      <c r="AS240" s="232"/>
      <c r="AT240" s="232"/>
      <c r="AU240" s="232"/>
      <c r="AV240" s="233"/>
      <c r="AX240" s="182">
        <f t="shared" ref="AX240" si="620">IF($D$6=$G$9,AR240,AL240)</f>
        <v>0</v>
      </c>
      <c r="AY240" s="183">
        <f t="shared" ref="AY240" si="621">IF($D$6=$G$9,AS240,AM240)</f>
        <v>0</v>
      </c>
      <c r="AZ240" s="183">
        <f t="shared" ref="AZ240" si="622">IF($D$6=$G$9,AT240,AN240)</f>
        <v>0</v>
      </c>
      <c r="BA240" s="183">
        <f t="shared" ref="BA240" si="623">IF($D$6=$G$9,AU240,AO240)</f>
        <v>0</v>
      </c>
      <c r="BB240" s="187">
        <f t="shared" ref="BB240" si="624">IF($D$6=$G$9,AV240,AP240)</f>
        <v>0</v>
      </c>
      <c r="BC240" s="1137">
        <v>9</v>
      </c>
      <c r="BD240" s="164" t="str">
        <f t="shared" si="606"/>
        <v>N/A</v>
      </c>
      <c r="BE240" s="185"/>
      <c r="BF240" s="1137">
        <v>9</v>
      </c>
      <c r="BG240" s="164" t="str">
        <f t="shared" si="607"/>
        <v>N/A</v>
      </c>
      <c r="BH240" s="185"/>
      <c r="BI240" s="1137">
        <v>9</v>
      </c>
      <c r="BJ240" s="164" t="str">
        <f t="shared" si="608"/>
        <v>N/A</v>
      </c>
      <c r="BK240" s="185"/>
      <c r="BN240" s="167"/>
      <c r="BO240" s="167"/>
      <c r="BP240" s="167" t="str">
        <f t="shared" si="548"/>
        <v/>
      </c>
      <c r="BQ240" s="167">
        <f t="shared" si="601"/>
        <v>9</v>
      </c>
      <c r="BR240" s="167">
        <f t="shared" si="602"/>
        <v>9</v>
      </c>
      <c r="BS240" s="167">
        <f t="shared" si="603"/>
        <v>9</v>
      </c>
      <c r="BV240" s="193"/>
      <c r="BW240" s="193"/>
      <c r="BX240" s="193"/>
      <c r="BY240" s="193"/>
      <c r="BZ240" s="193"/>
      <c r="CA240" s="193"/>
    </row>
    <row r="241" spans="1:80" ht="15.75" thickBot="1" x14ac:dyDescent="0.3">
      <c r="A241" s="96">
        <v>233</v>
      </c>
      <c r="B241" s="96" t="s">
        <v>802</v>
      </c>
      <c r="C241" s="739" t="s">
        <v>802</v>
      </c>
      <c r="D241" s="986" t="s">
        <v>1042</v>
      </c>
      <c r="E241" s="784" t="s">
        <v>236</v>
      </c>
      <c r="F241" s="784" t="s">
        <v>236</v>
      </c>
      <c r="G241" s="784" t="s">
        <v>236</v>
      </c>
      <c r="H241" s="784" t="s">
        <v>236</v>
      </c>
      <c r="I241" s="784" t="s">
        <v>236</v>
      </c>
      <c r="J241" s="784" t="s">
        <v>236</v>
      </c>
      <c r="K241" s="784" t="s">
        <v>236</v>
      </c>
      <c r="L241" s="784" t="s">
        <v>236</v>
      </c>
      <c r="M241" s="784" t="s">
        <v>236</v>
      </c>
      <c r="N241" s="784" t="s">
        <v>236</v>
      </c>
      <c r="O241" s="784" t="s">
        <v>236</v>
      </c>
      <c r="P241" s="785" t="s">
        <v>236</v>
      </c>
      <c r="Q241" s="785" t="s">
        <v>236</v>
      </c>
      <c r="S241" s="221" t="str">
        <f t="shared" si="589"/>
        <v>Yes/No</v>
      </c>
      <c r="T241" s="241"/>
      <c r="U241" s="239"/>
      <c r="V241" s="167"/>
      <c r="W241" s="167"/>
      <c r="X241" s="168"/>
      <c r="Y241" s="168"/>
      <c r="Z241" s="169"/>
      <c r="AA241" s="213" t="str">
        <f t="shared" si="590"/>
        <v>Yes/No</v>
      </c>
      <c r="AC241" s="171"/>
      <c r="AD241" s="240" t="s">
        <v>237</v>
      </c>
      <c r="AE241" s="240" t="s">
        <v>237</v>
      </c>
      <c r="AF241" s="240" t="s">
        <v>237</v>
      </c>
      <c r="AH241" s="214">
        <f>IF(VLOOKUP(D241,'Pre-Assessment Estimator'!$E$11:$AB$224,'Pre-Assessment Estimator'!$G$2,FALSE)&gt;AA241,AA241,VLOOKUP(D241,'Pre-Assessment Estimator'!$E$11:$AB$224,'Pre-Assessment Estimator'!$G$2,FALSE))</f>
        <v>0</v>
      </c>
      <c r="AI241" s="172">
        <f>IF(VLOOKUP(D241,'Pre-Assessment Estimator'!$E$11:$AB$224,'Pre-Assessment Estimator'!$N$2,FALSE)&gt;AA241,AA241,VLOOKUP(D241,'Pre-Assessment Estimator'!$E$11:$AB$224,'Pre-Assessment Estimator'!$N$2,FALSE))</f>
        <v>0</v>
      </c>
      <c r="AJ241" s="172">
        <f>IF(VLOOKUP(D241,'Pre-Assessment Estimator'!$E$11:$AB$224,'Pre-Assessment Estimator'!$U$2,FALSE)&gt;AA241,AA241,VLOOKUP(D241,'Pre-Assessment Estimator'!$E$11:$AB$224,'Pre-Assessment Estimator'!$U$2,FALSE))</f>
        <v>0</v>
      </c>
      <c r="AL241" s="740"/>
      <c r="AM241" s="232"/>
      <c r="AN241" s="232"/>
      <c r="AO241" s="232"/>
      <c r="AP241" s="233"/>
      <c r="AR241" s="740"/>
      <c r="AS241" s="232"/>
      <c r="AT241" s="232"/>
      <c r="AU241" s="232"/>
      <c r="AV241" s="233"/>
      <c r="AX241" s="182">
        <f t="shared" si="616"/>
        <v>0</v>
      </c>
      <c r="AY241" s="183">
        <f t="shared" si="617"/>
        <v>0</v>
      </c>
      <c r="AZ241" s="183">
        <f t="shared" si="618"/>
        <v>0</v>
      </c>
      <c r="BA241" s="183">
        <f t="shared" si="619"/>
        <v>0</v>
      </c>
      <c r="BB241" s="187">
        <f t="shared" si="605"/>
        <v>0</v>
      </c>
      <c r="BC241" s="1137">
        <v>9</v>
      </c>
      <c r="BD241" s="164" t="str">
        <f t="shared" si="606"/>
        <v>N/A</v>
      </c>
      <c r="BE241" s="185"/>
      <c r="BF241" s="1137">
        <v>9</v>
      </c>
      <c r="BG241" s="164" t="str">
        <f t="shared" si="607"/>
        <v>N/A</v>
      </c>
      <c r="BH241" s="185"/>
      <c r="BI241" s="1137">
        <v>9</v>
      </c>
      <c r="BJ241" s="164" t="str">
        <f t="shared" si="608"/>
        <v>N/A</v>
      </c>
      <c r="BK241" s="185"/>
      <c r="BN241" s="167"/>
      <c r="BO241" s="167" t="s">
        <v>13</v>
      </c>
      <c r="BP241" s="167" t="str">
        <f t="shared" si="548"/>
        <v>Yes</v>
      </c>
      <c r="BQ241" s="167">
        <f t="shared" si="601"/>
        <v>0</v>
      </c>
      <c r="BR241" s="167">
        <f t="shared" si="602"/>
        <v>0</v>
      </c>
      <c r="BS241" s="167">
        <f t="shared" si="603"/>
        <v>0</v>
      </c>
      <c r="BV241" s="193"/>
      <c r="BW241" s="193"/>
      <c r="BX241" s="193"/>
      <c r="BY241" s="193"/>
      <c r="BZ241" s="193"/>
      <c r="CA241" s="193"/>
    </row>
    <row r="242" spans="1:80" ht="15.75" thickBot="1" x14ac:dyDescent="0.3">
      <c r="A242" s="96">
        <v>234</v>
      </c>
      <c r="B242" s="96" t="s">
        <v>805</v>
      </c>
      <c r="C242" s="739" t="s">
        <v>805</v>
      </c>
      <c r="D242" s="986" t="s">
        <v>678</v>
      </c>
      <c r="E242" s="784" t="s">
        <v>236</v>
      </c>
      <c r="F242" s="784" t="s">
        <v>236</v>
      </c>
      <c r="G242" s="784" t="s">
        <v>236</v>
      </c>
      <c r="H242" s="784" t="s">
        <v>236</v>
      </c>
      <c r="I242" s="784" t="s">
        <v>236</v>
      </c>
      <c r="J242" s="784" t="s">
        <v>236</v>
      </c>
      <c r="K242" s="784" t="s">
        <v>236</v>
      </c>
      <c r="L242" s="784" t="s">
        <v>236</v>
      </c>
      <c r="M242" s="784" t="s">
        <v>236</v>
      </c>
      <c r="N242" s="784" t="s">
        <v>236</v>
      </c>
      <c r="O242" s="784" t="s">
        <v>236</v>
      </c>
      <c r="P242" s="785" t="s">
        <v>236</v>
      </c>
      <c r="Q242" s="785" t="s">
        <v>236</v>
      </c>
      <c r="S242" s="221" t="str">
        <f t="shared" si="589"/>
        <v>Yes/No</v>
      </c>
      <c r="T242" s="241"/>
      <c r="U242" s="239"/>
      <c r="V242" s="167"/>
      <c r="W242" s="167"/>
      <c r="X242" s="168"/>
      <c r="Y242" s="168"/>
      <c r="Z242" s="169"/>
      <c r="AA242" s="213" t="str">
        <f t="shared" si="590"/>
        <v>Yes/No</v>
      </c>
      <c r="AC242" s="171"/>
      <c r="AD242" s="240" t="s">
        <v>237</v>
      </c>
      <c r="AE242" s="240" t="s">
        <v>237</v>
      </c>
      <c r="AF242" s="240" t="s">
        <v>237</v>
      </c>
      <c r="AH242" s="214" t="str">
        <f>IF(AH173+AH174=LE02_credits,AD_Yes,AD_no)</f>
        <v>No</v>
      </c>
      <c r="AI242" s="172" t="str">
        <f>IF(AI173+AI174=LE02_credits,AD_Yes,AD_no)</f>
        <v>No</v>
      </c>
      <c r="AJ242" s="172" t="str">
        <f>IF(AJ173+AJ174=LE02_credits,AD_Yes,AD_no)</f>
        <v>No</v>
      </c>
      <c r="AL242" s="740"/>
      <c r="AM242" s="232"/>
      <c r="AN242" s="232"/>
      <c r="AO242" s="232"/>
      <c r="AP242" s="233"/>
      <c r="AR242" s="740"/>
      <c r="AS242" s="232"/>
      <c r="AT242" s="232"/>
      <c r="AU242" s="232"/>
      <c r="AV242" s="233"/>
      <c r="AX242" s="182">
        <f t="shared" si="616"/>
        <v>0</v>
      </c>
      <c r="AY242" s="183">
        <f t="shared" si="617"/>
        <v>0</v>
      </c>
      <c r="AZ242" s="183">
        <f t="shared" si="618"/>
        <v>0</v>
      </c>
      <c r="BA242" s="183">
        <f t="shared" si="619"/>
        <v>0</v>
      </c>
      <c r="BB242" s="187">
        <f t="shared" si="605"/>
        <v>0</v>
      </c>
      <c r="BC242" s="1137">
        <v>9</v>
      </c>
      <c r="BD242" s="164" t="str">
        <f t="shared" si="606"/>
        <v>N/A</v>
      </c>
      <c r="BE242" s="185"/>
      <c r="BF242" s="1137">
        <v>9</v>
      </c>
      <c r="BG242" s="164" t="str">
        <f t="shared" si="607"/>
        <v>N/A</v>
      </c>
      <c r="BH242" s="185"/>
      <c r="BI242" s="1137">
        <v>9</v>
      </c>
      <c r="BJ242" s="164" t="str">
        <f t="shared" si="608"/>
        <v>N/A</v>
      </c>
      <c r="BK242" s="185"/>
      <c r="BN242" s="167"/>
      <c r="BO242" s="167"/>
      <c r="BP242" s="167" t="str">
        <f t="shared" si="548"/>
        <v/>
      </c>
      <c r="BQ242" s="167">
        <f t="shared" si="601"/>
        <v>9</v>
      </c>
      <c r="BR242" s="167">
        <f t="shared" si="602"/>
        <v>9</v>
      </c>
      <c r="BS242" s="167">
        <f t="shared" si="603"/>
        <v>9</v>
      </c>
      <c r="BV242" s="193"/>
      <c r="BW242" s="193"/>
      <c r="BX242" s="193"/>
      <c r="BY242" s="193"/>
      <c r="BZ242" s="193"/>
      <c r="CA242" s="193"/>
    </row>
    <row r="243" spans="1:80" ht="15.75" thickBot="1" x14ac:dyDescent="0.3">
      <c r="A243" s="96">
        <v>235</v>
      </c>
      <c r="B243" s="96" t="s">
        <v>808</v>
      </c>
      <c r="C243" s="739" t="s">
        <v>808</v>
      </c>
      <c r="D243" s="986" t="s">
        <v>996</v>
      </c>
      <c r="E243" s="784" t="s">
        <v>236</v>
      </c>
      <c r="F243" s="784" t="s">
        <v>236</v>
      </c>
      <c r="G243" s="784" t="s">
        <v>236</v>
      </c>
      <c r="H243" s="784" t="s">
        <v>236</v>
      </c>
      <c r="I243" s="784" t="s">
        <v>236</v>
      </c>
      <c r="J243" s="784" t="s">
        <v>236</v>
      </c>
      <c r="K243" s="784" t="s">
        <v>236</v>
      </c>
      <c r="L243" s="784" t="s">
        <v>236</v>
      </c>
      <c r="M243" s="784" t="s">
        <v>236</v>
      </c>
      <c r="N243" s="784" t="s">
        <v>236</v>
      </c>
      <c r="O243" s="784" t="s">
        <v>236</v>
      </c>
      <c r="P243" s="785" t="s">
        <v>236</v>
      </c>
      <c r="Q243" s="785" t="s">
        <v>236</v>
      </c>
      <c r="S243" s="221" t="str">
        <f t="shared" si="589"/>
        <v>Yes/No</v>
      </c>
      <c r="T243" s="241"/>
      <c r="U243" s="239"/>
      <c r="V243" s="167"/>
      <c r="W243" s="167"/>
      <c r="X243" s="168"/>
      <c r="Y243" s="168"/>
      <c r="Z243" s="169"/>
      <c r="AA243" s="213" t="str">
        <f t="shared" si="590"/>
        <v>Yes/No</v>
      </c>
      <c r="AC243" s="171"/>
      <c r="AD243" s="240" t="s">
        <v>237</v>
      </c>
      <c r="AE243" s="240" t="s">
        <v>237</v>
      </c>
      <c r="AF243" s="240" t="s">
        <v>237</v>
      </c>
      <c r="AH243" s="214">
        <f>IF(VLOOKUP(D243,'Pre-Assessment Estimator'!$E$11:$AB$224,'Pre-Assessment Estimator'!$G$2,FALSE)&gt;AA243,AA243,VLOOKUP(D243,'Pre-Assessment Estimator'!$E$11:$AB$224,'Pre-Assessment Estimator'!$G$2,FALSE))</f>
        <v>0</v>
      </c>
      <c r="AI243" s="172">
        <f>IF(VLOOKUP(D243,'Pre-Assessment Estimator'!$E$11:$AB$224,'Pre-Assessment Estimator'!$N$2,FALSE)&gt;AA243,AA243,VLOOKUP(D243,'Pre-Assessment Estimator'!$E$11:$AB$224,'Pre-Assessment Estimator'!$N$2,FALSE))</f>
        <v>0</v>
      </c>
      <c r="AJ243" s="172">
        <f>IF(VLOOKUP(D243,'Pre-Assessment Estimator'!$E$11:$AB$224,'Pre-Assessment Estimator'!$U$2,FALSE)&gt;AA243,AA243,VLOOKUP(D243,'Pre-Assessment Estimator'!$E$11:$AB$224,'Pre-Assessment Estimator'!$U$2,FALSE))</f>
        <v>0</v>
      </c>
      <c r="AL243" s="740"/>
      <c r="AM243" s="232"/>
      <c r="AN243" s="232"/>
      <c r="AO243" s="232"/>
      <c r="AP243" s="233"/>
      <c r="AR243" s="740"/>
      <c r="AS243" s="232"/>
      <c r="AT243" s="232"/>
      <c r="AU243" s="232"/>
      <c r="AV243" s="233"/>
      <c r="AX243" s="182">
        <f t="shared" si="616"/>
        <v>0</v>
      </c>
      <c r="AY243" s="183">
        <f t="shared" si="617"/>
        <v>0</v>
      </c>
      <c r="AZ243" s="183">
        <f t="shared" si="618"/>
        <v>0</v>
      </c>
      <c r="BA243" s="183">
        <f t="shared" si="619"/>
        <v>0</v>
      </c>
      <c r="BB243" s="187">
        <f t="shared" si="605"/>
        <v>0</v>
      </c>
      <c r="BC243" s="1137">
        <v>9</v>
      </c>
      <c r="BD243" s="164" t="str">
        <f t="shared" si="606"/>
        <v>N/A</v>
      </c>
      <c r="BE243" s="185"/>
      <c r="BF243" s="1137">
        <v>9</v>
      </c>
      <c r="BG243" s="164" t="str">
        <f t="shared" si="607"/>
        <v>N/A</v>
      </c>
      <c r="BH243" s="185"/>
      <c r="BI243" s="1137">
        <v>9</v>
      </c>
      <c r="BJ243" s="164" t="str">
        <f t="shared" si="608"/>
        <v>N/A</v>
      </c>
      <c r="BK243" s="185"/>
      <c r="BN243" s="167"/>
      <c r="BO243" s="167"/>
      <c r="BP243" s="167" t="str">
        <f t="shared" si="548"/>
        <v/>
      </c>
      <c r="BQ243" s="167">
        <f t="shared" si="601"/>
        <v>9</v>
      </c>
      <c r="BR243" s="167">
        <f t="shared" si="602"/>
        <v>9</v>
      </c>
      <c r="BS243" s="167">
        <f t="shared" si="603"/>
        <v>9</v>
      </c>
      <c r="BV243" s="193"/>
      <c r="BW243" s="193"/>
      <c r="BX243" s="193"/>
      <c r="BY243" s="193"/>
      <c r="BZ243" s="193"/>
      <c r="CA243" s="193"/>
    </row>
    <row r="244" spans="1:80" ht="15.75" thickBot="1" x14ac:dyDescent="0.3">
      <c r="A244" s="96">
        <v>236</v>
      </c>
      <c r="B244" s="96" t="s">
        <v>811</v>
      </c>
      <c r="C244" s="739" t="s">
        <v>811</v>
      </c>
      <c r="D244" s="986" t="s">
        <v>684</v>
      </c>
      <c r="E244" s="784" t="s">
        <v>236</v>
      </c>
      <c r="F244" s="784" t="s">
        <v>236</v>
      </c>
      <c r="G244" s="784" t="s">
        <v>236</v>
      </c>
      <c r="H244" s="784" t="s">
        <v>236</v>
      </c>
      <c r="I244" s="784" t="s">
        <v>236</v>
      </c>
      <c r="J244" s="784" t="s">
        <v>236</v>
      </c>
      <c r="K244" s="784" t="s">
        <v>236</v>
      </c>
      <c r="L244" s="784" t="s">
        <v>236</v>
      </c>
      <c r="M244" s="784" t="s">
        <v>236</v>
      </c>
      <c r="N244" s="784" t="s">
        <v>236</v>
      </c>
      <c r="O244" s="784" t="s">
        <v>236</v>
      </c>
      <c r="P244" s="785" t="s">
        <v>236</v>
      </c>
      <c r="Q244" s="785" t="s">
        <v>236</v>
      </c>
      <c r="S244" s="221" t="str">
        <f t="shared" si="589"/>
        <v>Yes/No</v>
      </c>
      <c r="T244" s="241"/>
      <c r="U244" s="239"/>
      <c r="V244" s="167"/>
      <c r="W244" s="167"/>
      <c r="X244" s="168"/>
      <c r="Y244" s="168"/>
      <c r="Z244" s="169"/>
      <c r="AA244" s="213" t="str">
        <f t="shared" si="590"/>
        <v>Yes/No</v>
      </c>
      <c r="AC244" s="171"/>
      <c r="AD244" s="240" t="s">
        <v>237</v>
      </c>
      <c r="AE244" s="240" t="s">
        <v>237</v>
      </c>
      <c r="AF244" s="240" t="s">
        <v>237</v>
      </c>
      <c r="AH244" s="214">
        <f>IF(VLOOKUP(D244,'Pre-Assessment Estimator'!$E$11:$AB$224,'Pre-Assessment Estimator'!$G$2,FALSE)&gt;AA244,AA244,VLOOKUP(D244,'Pre-Assessment Estimator'!$E$11:$AB$224,'Pre-Assessment Estimator'!$G$2,FALSE))</f>
        <v>0</v>
      </c>
      <c r="AI244" s="172">
        <f>IF(VLOOKUP(D244,'Pre-Assessment Estimator'!$E$11:$AB$224,'Pre-Assessment Estimator'!$N$2,FALSE)&gt;AA244,AA244,VLOOKUP(D244,'Pre-Assessment Estimator'!$E$11:$AB$224,'Pre-Assessment Estimator'!$N$2,FALSE))</f>
        <v>0</v>
      </c>
      <c r="AJ244" s="172">
        <f>IF(VLOOKUP(D244,'Pre-Assessment Estimator'!$E$11:$AB$224,'Pre-Assessment Estimator'!$U$2,FALSE)&gt;AA244,AA244,VLOOKUP(D244,'Pre-Assessment Estimator'!$E$11:$AB$224,'Pre-Assessment Estimator'!$U$2,FALSE))</f>
        <v>0</v>
      </c>
      <c r="AL244" s="740"/>
      <c r="AM244" s="232"/>
      <c r="AN244" s="232"/>
      <c r="AO244" s="232"/>
      <c r="AP244" s="233"/>
      <c r="AR244" s="740"/>
      <c r="AS244" s="232"/>
      <c r="AT244" s="232"/>
      <c r="AU244" s="232"/>
      <c r="AV244" s="233"/>
      <c r="AX244" s="182">
        <f t="shared" ref="AX244:AX247" si="625">IF($D$6=$G$9,AR244,AL244)</f>
        <v>0</v>
      </c>
      <c r="AY244" s="183">
        <f t="shared" ref="AY244:AY247" si="626">IF($D$6=$G$9,AS244,AM244)</f>
        <v>0</v>
      </c>
      <c r="AZ244" s="183">
        <f t="shared" ref="AZ244:AZ247" si="627">IF($D$6=$G$9,AT244,AN244)</f>
        <v>0</v>
      </c>
      <c r="BA244" s="183">
        <f t="shared" ref="BA244:BA247" si="628">IF($D$6=$G$9,AU244,AO244)</f>
        <v>0</v>
      </c>
      <c r="BB244" s="187">
        <f t="shared" si="605"/>
        <v>0</v>
      </c>
      <c r="BC244" s="1137">
        <v>9</v>
      </c>
      <c r="BD244" s="164" t="str">
        <f t="shared" si="606"/>
        <v>N/A</v>
      </c>
      <c r="BE244" s="185"/>
      <c r="BF244" s="1137">
        <v>9</v>
      </c>
      <c r="BG244" s="164" t="str">
        <f t="shared" si="607"/>
        <v>N/A</v>
      </c>
      <c r="BH244" s="185"/>
      <c r="BI244" s="1137">
        <v>9</v>
      </c>
      <c r="BJ244" s="164" t="str">
        <f t="shared" si="608"/>
        <v>N/A</v>
      </c>
      <c r="BK244" s="185"/>
      <c r="BN244" s="167"/>
      <c r="BO244" s="167"/>
      <c r="BP244" s="167" t="str">
        <f t="shared" si="548"/>
        <v/>
      </c>
      <c r="BQ244" s="167">
        <f t="shared" si="601"/>
        <v>9</v>
      </c>
      <c r="BR244" s="167">
        <f t="shared" si="602"/>
        <v>9</v>
      </c>
      <c r="BS244" s="167">
        <f t="shared" si="603"/>
        <v>9</v>
      </c>
      <c r="BV244" s="193"/>
      <c r="BW244" s="193"/>
      <c r="BX244" s="193"/>
      <c r="BY244" s="193"/>
      <c r="BZ244" s="193"/>
      <c r="CA244" s="193"/>
    </row>
    <row r="245" spans="1:80" ht="15.75" thickBot="1" x14ac:dyDescent="0.3">
      <c r="A245" s="96">
        <v>237</v>
      </c>
      <c r="B245" s="96" t="s">
        <v>766</v>
      </c>
      <c r="C245" s="739" t="s">
        <v>766</v>
      </c>
      <c r="D245" s="986" t="s">
        <v>1001</v>
      </c>
      <c r="E245" s="784" t="s">
        <v>236</v>
      </c>
      <c r="F245" s="784" t="s">
        <v>236</v>
      </c>
      <c r="G245" s="784" t="s">
        <v>236</v>
      </c>
      <c r="H245" s="784" t="s">
        <v>236</v>
      </c>
      <c r="I245" s="784" t="s">
        <v>236</v>
      </c>
      <c r="J245" s="784" t="s">
        <v>236</v>
      </c>
      <c r="K245" s="784" t="s">
        <v>236</v>
      </c>
      <c r="L245" s="784" t="s">
        <v>236</v>
      </c>
      <c r="M245" s="784" t="s">
        <v>236</v>
      </c>
      <c r="N245" s="784" t="s">
        <v>236</v>
      </c>
      <c r="O245" s="784" t="s">
        <v>236</v>
      </c>
      <c r="P245" s="785" t="s">
        <v>236</v>
      </c>
      <c r="Q245" s="785" t="s">
        <v>236</v>
      </c>
      <c r="S245" s="221" t="str">
        <f t="shared" si="589"/>
        <v>Yes/No</v>
      </c>
      <c r="T245" s="241"/>
      <c r="U245" s="239"/>
      <c r="V245" s="167"/>
      <c r="W245" s="167"/>
      <c r="X245" s="168"/>
      <c r="Y245" s="168"/>
      <c r="Z245" s="169"/>
      <c r="AA245" s="213" t="str">
        <f t="shared" si="590"/>
        <v>Yes/No</v>
      </c>
      <c r="AC245" s="171"/>
      <c r="AD245" s="240" t="s">
        <v>237</v>
      </c>
      <c r="AE245" s="240" t="s">
        <v>237</v>
      </c>
      <c r="AF245" s="240" t="s">
        <v>237</v>
      </c>
      <c r="AH245" s="214">
        <f>IF(VLOOKUP(D245,'Pre-Assessment Estimator'!$E$11:$AB$224,'Pre-Assessment Estimator'!$G$2,FALSE)&gt;AA245,AA245,VLOOKUP(D245,'Pre-Assessment Estimator'!$E$11:$AB$224,'Pre-Assessment Estimator'!$G$2,FALSE))</f>
        <v>0</v>
      </c>
      <c r="AI245" s="172">
        <f>IF(VLOOKUP(D245,'Pre-Assessment Estimator'!$E$11:$AB$224,'Pre-Assessment Estimator'!$N$2,FALSE)&gt;AA245,AA245,VLOOKUP(D245,'Pre-Assessment Estimator'!$E$11:$AB$224,'Pre-Assessment Estimator'!$N$2,FALSE))</f>
        <v>0</v>
      </c>
      <c r="AJ245" s="172">
        <f>IF(VLOOKUP(D245,'Pre-Assessment Estimator'!$E$11:$AB$224,'Pre-Assessment Estimator'!$U$2,FALSE)&gt;AA245,AA245,VLOOKUP(D245,'Pre-Assessment Estimator'!$E$11:$AB$224,'Pre-Assessment Estimator'!$U$2,FALSE))</f>
        <v>0</v>
      </c>
      <c r="AL245" s="740"/>
      <c r="AM245" s="232"/>
      <c r="AN245" s="232"/>
      <c r="AO245" s="232"/>
      <c r="AP245" s="233"/>
      <c r="AR245" s="740"/>
      <c r="AS245" s="232"/>
      <c r="AT245" s="232"/>
      <c r="AU245" s="232"/>
      <c r="AV245" s="233"/>
      <c r="AX245" s="182">
        <f t="shared" ref="AX245" si="629">IF($D$6=$G$9,AR245,AL245)</f>
        <v>0</v>
      </c>
      <c r="AY245" s="183">
        <f t="shared" ref="AY245" si="630">IF($D$6=$G$9,AS245,AM245)</f>
        <v>0</v>
      </c>
      <c r="AZ245" s="183">
        <f t="shared" ref="AZ245" si="631">IF($D$6=$G$9,AT245,AN245)</f>
        <v>0</v>
      </c>
      <c r="BA245" s="183">
        <f t="shared" ref="BA245" si="632">IF($D$6=$G$9,AU245,AO245)</f>
        <v>0</v>
      </c>
      <c r="BB245" s="187">
        <f t="shared" ref="BB245" si="633">IF($D$6=$G$9,AV245,AP245)</f>
        <v>0</v>
      </c>
      <c r="BC245" s="1137">
        <v>9</v>
      </c>
      <c r="BD245" s="164" t="str">
        <f t="shared" si="606"/>
        <v>N/A</v>
      </c>
      <c r="BE245" s="185"/>
      <c r="BF245" s="1137">
        <v>9</v>
      </c>
      <c r="BG245" s="164" t="str">
        <f t="shared" si="607"/>
        <v>N/A</v>
      </c>
      <c r="BH245" s="185"/>
      <c r="BI245" s="1137">
        <v>9</v>
      </c>
      <c r="BJ245" s="164" t="str">
        <f t="shared" si="608"/>
        <v>N/A</v>
      </c>
      <c r="BK245" s="185"/>
      <c r="BN245" s="167"/>
      <c r="BO245" s="167"/>
      <c r="BP245" s="167" t="str">
        <f t="shared" si="548"/>
        <v/>
      </c>
      <c r="BQ245" s="167">
        <f t="shared" si="601"/>
        <v>9</v>
      </c>
      <c r="BR245" s="167">
        <f t="shared" si="602"/>
        <v>9</v>
      </c>
      <c r="BS245" s="167">
        <f t="shared" si="603"/>
        <v>9</v>
      </c>
      <c r="BV245" s="193"/>
      <c r="BW245" s="193"/>
      <c r="BX245" s="193"/>
      <c r="BY245" s="193"/>
      <c r="BZ245" s="193"/>
      <c r="CA245" s="193"/>
    </row>
    <row r="246" spans="1:80" ht="15.75" thickBot="1" x14ac:dyDescent="0.3">
      <c r="A246" s="96">
        <v>238</v>
      </c>
      <c r="B246" s="96" t="s">
        <v>815</v>
      </c>
      <c r="C246" s="742" t="s">
        <v>815</v>
      </c>
      <c r="D246" s="986" t="s">
        <v>997</v>
      </c>
      <c r="E246" s="784" t="s">
        <v>236</v>
      </c>
      <c r="F246" s="784" t="s">
        <v>236</v>
      </c>
      <c r="G246" s="784" t="s">
        <v>236</v>
      </c>
      <c r="H246" s="784" t="s">
        <v>236</v>
      </c>
      <c r="I246" s="784" t="s">
        <v>236</v>
      </c>
      <c r="J246" s="784" t="s">
        <v>236</v>
      </c>
      <c r="K246" s="784" t="s">
        <v>236</v>
      </c>
      <c r="L246" s="784" t="s">
        <v>236</v>
      </c>
      <c r="M246" s="784" t="s">
        <v>236</v>
      </c>
      <c r="N246" s="784" t="s">
        <v>236</v>
      </c>
      <c r="O246" s="784" t="s">
        <v>236</v>
      </c>
      <c r="P246" s="785" t="s">
        <v>236</v>
      </c>
      <c r="Q246" s="785" t="s">
        <v>236</v>
      </c>
      <c r="S246" s="221" t="str">
        <f t="shared" si="589"/>
        <v>Yes/No</v>
      </c>
      <c r="T246" s="241"/>
      <c r="U246" s="239"/>
      <c r="V246" s="167"/>
      <c r="W246" s="167"/>
      <c r="X246" s="168"/>
      <c r="Y246" s="168"/>
      <c r="Z246" s="169"/>
      <c r="AA246" s="213" t="str">
        <f t="shared" si="590"/>
        <v>Yes/No</v>
      </c>
      <c r="AC246" s="171"/>
      <c r="AD246" s="240" t="s">
        <v>237</v>
      </c>
      <c r="AE246" s="240" t="s">
        <v>237</v>
      </c>
      <c r="AF246" s="240" t="s">
        <v>237</v>
      </c>
      <c r="AH246" s="214">
        <f>IF(VLOOKUP(D246,'Pre-Assessment Estimator'!$E$11:$AB$224,'Pre-Assessment Estimator'!$G$2,FALSE)&gt;AA246,AA246,VLOOKUP(D246,'Pre-Assessment Estimator'!$E$11:$AB$224,'Pre-Assessment Estimator'!$G$2,FALSE))</f>
        <v>0</v>
      </c>
      <c r="AI246" s="172">
        <f>IF(VLOOKUP(D246,'Pre-Assessment Estimator'!$E$11:$AB$224,'Pre-Assessment Estimator'!$N$2,FALSE)&gt;AA246,AA246,VLOOKUP(D246,'Pre-Assessment Estimator'!$E$11:$AB$224,'Pre-Assessment Estimator'!$N$2,FALSE))</f>
        <v>0</v>
      </c>
      <c r="AJ246" s="172">
        <f>IF(VLOOKUP(D246,'Pre-Assessment Estimator'!$E$11:$AB$224,'Pre-Assessment Estimator'!$U$2,FALSE)&gt;AA246,AA246,VLOOKUP(D246,'Pre-Assessment Estimator'!$E$11:$AB$224,'Pre-Assessment Estimator'!$U$2,FALSE))</f>
        <v>0</v>
      </c>
      <c r="AL246" s="740"/>
      <c r="AM246" s="232"/>
      <c r="AN246" s="232"/>
      <c r="AO246" s="232"/>
      <c r="AP246" s="233"/>
      <c r="AR246" s="740"/>
      <c r="AS246" s="232"/>
      <c r="AT246" s="232"/>
      <c r="AU246" s="232"/>
      <c r="AV246" s="233"/>
      <c r="AX246" s="182">
        <f t="shared" si="625"/>
        <v>0</v>
      </c>
      <c r="AY246" s="183">
        <f t="shared" si="626"/>
        <v>0</v>
      </c>
      <c r="AZ246" s="183">
        <f t="shared" si="627"/>
        <v>0</v>
      </c>
      <c r="BA246" s="183">
        <f t="shared" si="628"/>
        <v>0</v>
      </c>
      <c r="BB246" s="187">
        <f t="shared" si="605"/>
        <v>0</v>
      </c>
      <c r="BC246" s="1137">
        <v>9</v>
      </c>
      <c r="BD246" s="164" t="str">
        <f t="shared" si="606"/>
        <v>N/A</v>
      </c>
      <c r="BE246" s="185"/>
      <c r="BF246" s="1137">
        <v>9</v>
      </c>
      <c r="BG246" s="164" t="str">
        <f t="shared" si="607"/>
        <v>N/A</v>
      </c>
      <c r="BH246" s="185"/>
      <c r="BI246" s="1137">
        <v>9</v>
      </c>
      <c r="BJ246" s="164" t="str">
        <f t="shared" si="608"/>
        <v>N/A</v>
      </c>
      <c r="BK246" s="185"/>
      <c r="BN246" s="167"/>
      <c r="BO246" s="167"/>
      <c r="BP246" s="167" t="str">
        <f t="shared" si="548"/>
        <v/>
      </c>
      <c r="BQ246" s="167">
        <f t="shared" si="601"/>
        <v>9</v>
      </c>
      <c r="BR246" s="167">
        <f t="shared" si="602"/>
        <v>9</v>
      </c>
      <c r="BS246" s="167">
        <f t="shared" si="603"/>
        <v>9</v>
      </c>
      <c r="BV246" s="193"/>
      <c r="BW246" s="193"/>
      <c r="BX246" s="193"/>
      <c r="BY246" s="193"/>
      <c r="BZ246" s="193"/>
      <c r="CA246" s="193"/>
    </row>
    <row r="247" spans="1:80" ht="15.75" thickBot="1" x14ac:dyDescent="0.3">
      <c r="A247" s="96">
        <v>239</v>
      </c>
      <c r="B247" s="96" t="s">
        <v>817</v>
      </c>
      <c r="C247" s="742" t="s">
        <v>817</v>
      </c>
      <c r="D247" s="986" t="s">
        <v>1000</v>
      </c>
      <c r="E247" s="784" t="s">
        <v>236</v>
      </c>
      <c r="F247" s="784" t="s">
        <v>236</v>
      </c>
      <c r="G247" s="784" t="s">
        <v>236</v>
      </c>
      <c r="H247" s="784" t="s">
        <v>236</v>
      </c>
      <c r="I247" s="784" t="s">
        <v>236</v>
      </c>
      <c r="J247" s="784" t="s">
        <v>236</v>
      </c>
      <c r="K247" s="784" t="s">
        <v>236</v>
      </c>
      <c r="L247" s="784" t="s">
        <v>236</v>
      </c>
      <c r="M247" s="784" t="s">
        <v>236</v>
      </c>
      <c r="N247" s="784" t="s">
        <v>236</v>
      </c>
      <c r="O247" s="784" t="s">
        <v>236</v>
      </c>
      <c r="P247" s="785" t="s">
        <v>236</v>
      </c>
      <c r="Q247" s="785" t="s">
        <v>236</v>
      </c>
      <c r="S247" s="221" t="str">
        <f t="shared" si="589"/>
        <v>Yes/No</v>
      </c>
      <c r="T247" s="241"/>
      <c r="U247" s="239"/>
      <c r="V247" s="167"/>
      <c r="W247" s="167"/>
      <c r="X247" s="168"/>
      <c r="Y247" s="168"/>
      <c r="Z247" s="169"/>
      <c r="AA247" s="213" t="str">
        <f t="shared" si="590"/>
        <v>Yes/No</v>
      </c>
      <c r="AC247" s="171"/>
      <c r="AD247" s="240" t="s">
        <v>237</v>
      </c>
      <c r="AE247" s="240" t="s">
        <v>237</v>
      </c>
      <c r="AF247" s="240" t="s">
        <v>237</v>
      </c>
      <c r="AH247" s="214">
        <f>IF(VLOOKUP(D247,'Pre-Assessment Estimator'!$E$11:$AB$224,'Pre-Assessment Estimator'!$G$2,FALSE)&gt;AA247,AA247,VLOOKUP(D247,'Pre-Assessment Estimator'!$E$11:$AB$224,'Pre-Assessment Estimator'!$G$2,FALSE))</f>
        <v>0</v>
      </c>
      <c r="AI247" s="172">
        <f>IF(VLOOKUP(D247,'Pre-Assessment Estimator'!$E$11:$AB$224,'Pre-Assessment Estimator'!$N$2,FALSE)&gt;AA247,AA247,VLOOKUP(D247,'Pre-Assessment Estimator'!$E$11:$AB$224,'Pre-Assessment Estimator'!$N$2,FALSE))</f>
        <v>0</v>
      </c>
      <c r="AJ247" s="172">
        <f>IF(VLOOKUP(D247,'Pre-Assessment Estimator'!$E$11:$AB$224,'Pre-Assessment Estimator'!$U$2,FALSE)&gt;AA247,AA247,VLOOKUP(D247,'Pre-Assessment Estimator'!$E$11:$AB$224,'Pre-Assessment Estimator'!$U$2,FALSE))</f>
        <v>0</v>
      </c>
      <c r="AL247" s="740"/>
      <c r="AM247" s="232"/>
      <c r="AN247" s="232"/>
      <c r="AO247" s="232"/>
      <c r="AP247" s="233"/>
      <c r="AR247" s="740"/>
      <c r="AS247" s="232"/>
      <c r="AT247" s="232"/>
      <c r="AU247" s="232"/>
      <c r="AV247" s="233"/>
      <c r="AX247" s="182">
        <f t="shared" si="625"/>
        <v>0</v>
      </c>
      <c r="AY247" s="183">
        <f t="shared" si="626"/>
        <v>0</v>
      </c>
      <c r="AZ247" s="183">
        <f t="shared" si="627"/>
        <v>0</v>
      </c>
      <c r="BA247" s="183">
        <f t="shared" si="628"/>
        <v>0</v>
      </c>
      <c r="BB247" s="187">
        <f t="shared" si="605"/>
        <v>0</v>
      </c>
      <c r="BC247" s="1137">
        <v>9</v>
      </c>
      <c r="BD247" s="164" t="str">
        <f t="shared" si="606"/>
        <v>N/A</v>
      </c>
      <c r="BE247" s="185"/>
      <c r="BF247" s="1137">
        <v>9</v>
      </c>
      <c r="BG247" s="164" t="str">
        <f t="shared" si="607"/>
        <v>N/A</v>
      </c>
      <c r="BH247" s="185"/>
      <c r="BI247" s="1137">
        <v>9</v>
      </c>
      <c r="BJ247" s="164" t="str">
        <f t="shared" si="608"/>
        <v>N/A</v>
      </c>
      <c r="BK247" s="185"/>
      <c r="BN247" s="167"/>
      <c r="BO247" s="167"/>
      <c r="BP247" s="167" t="str">
        <f t="shared" si="548"/>
        <v/>
      </c>
      <c r="BQ247" s="167">
        <f t="shared" si="601"/>
        <v>9</v>
      </c>
      <c r="BR247" s="167">
        <f t="shared" si="602"/>
        <v>9</v>
      </c>
      <c r="BS247" s="167">
        <f t="shared" si="603"/>
        <v>9</v>
      </c>
      <c r="BV247" s="193"/>
      <c r="BW247" s="193"/>
      <c r="BX247" s="193"/>
      <c r="BY247" s="193"/>
      <c r="BZ247" s="193"/>
      <c r="CA247" s="193"/>
    </row>
    <row r="248" spans="1:80" ht="15.75" thickBot="1" x14ac:dyDescent="0.3">
      <c r="A248" s="96">
        <v>240</v>
      </c>
      <c r="B248" s="96" t="s">
        <v>900</v>
      </c>
      <c r="C248" s="742" t="s">
        <v>900</v>
      </c>
      <c r="D248" s="1173" t="s">
        <v>1002</v>
      </c>
      <c r="E248" s="784" t="s">
        <v>236</v>
      </c>
      <c r="F248" s="784" t="s">
        <v>236</v>
      </c>
      <c r="G248" s="784" t="s">
        <v>236</v>
      </c>
      <c r="H248" s="784" t="s">
        <v>236</v>
      </c>
      <c r="I248" s="784" t="s">
        <v>236</v>
      </c>
      <c r="J248" s="784" t="s">
        <v>236</v>
      </c>
      <c r="K248" s="784" t="s">
        <v>236</v>
      </c>
      <c r="L248" s="784" t="s">
        <v>236</v>
      </c>
      <c r="M248" s="784" t="s">
        <v>236</v>
      </c>
      <c r="N248" s="784" t="s">
        <v>236</v>
      </c>
      <c r="O248" s="784" t="s">
        <v>236</v>
      </c>
      <c r="P248" s="785" t="s">
        <v>236</v>
      </c>
      <c r="Q248" s="785" t="s">
        <v>236</v>
      </c>
      <c r="S248" s="221" t="str">
        <f t="shared" si="589"/>
        <v>Yes/No</v>
      </c>
      <c r="T248" s="241"/>
      <c r="U248" s="239"/>
      <c r="V248" s="167"/>
      <c r="W248" s="167"/>
      <c r="X248" s="168"/>
      <c r="Y248" s="168"/>
      <c r="Z248" s="169"/>
      <c r="AA248" s="1037">
        <f>IF('Assessment Details'!F24=AD_Yes,Poeng!S248,0)</f>
        <v>0</v>
      </c>
      <c r="AC248" s="171"/>
      <c r="AD248" s="240" t="s">
        <v>237</v>
      </c>
      <c r="AE248" s="240" t="s">
        <v>237</v>
      </c>
      <c r="AF248" s="240" t="s">
        <v>237</v>
      </c>
      <c r="AH248" s="214">
        <f>IF(VLOOKUP(D248,'Pre-Assessment Estimator'!$E$11:$AB$224,'Pre-Assessment Estimator'!$G$2,FALSE)&gt;AA248,AA248,VLOOKUP(D248,'Pre-Assessment Estimator'!$E$11:$AB$224,'Pre-Assessment Estimator'!$G$2,FALSE))</f>
        <v>0</v>
      </c>
      <c r="AI248" s="172">
        <f>IF(VLOOKUP(D248,'Pre-Assessment Estimator'!$E$11:$AB$224,'Pre-Assessment Estimator'!$N$2,FALSE)&gt;AA248,AA248,VLOOKUP(D248,'Pre-Assessment Estimator'!$E$11:$AB$224,'Pre-Assessment Estimator'!$N$2,FALSE))</f>
        <v>0</v>
      </c>
      <c r="AJ248" s="172">
        <f>IF(VLOOKUP(D248,'Pre-Assessment Estimator'!$E$11:$AB$224,'Pre-Assessment Estimator'!$U$2,FALSE)&gt;AA248,AA248,VLOOKUP(D248,'Pre-Assessment Estimator'!$E$11:$AB$224,'Pre-Assessment Estimator'!$U$2,FALSE))</f>
        <v>0</v>
      </c>
      <c r="AL248" s="740"/>
      <c r="AM248" s="232"/>
      <c r="AN248" s="232"/>
      <c r="AO248" s="232"/>
      <c r="AP248" s="233"/>
      <c r="AR248" s="740"/>
      <c r="AS248" s="232"/>
      <c r="AT248" s="232"/>
      <c r="AU248" s="232"/>
      <c r="AV248" s="233"/>
      <c r="AX248" s="182">
        <f t="shared" ref="AX248:AX251" si="634">IF($D$6=$G$9,AR248,AL248)</f>
        <v>0</v>
      </c>
      <c r="AY248" s="183">
        <f t="shared" ref="AY248:AY251" si="635">IF($D$6=$G$9,AS248,AM248)</f>
        <v>0</v>
      </c>
      <c r="AZ248" s="183">
        <f t="shared" ref="AZ248:AZ251" si="636">IF($D$6=$G$9,AT248,AN248)</f>
        <v>0</v>
      </c>
      <c r="BA248" s="183">
        <f t="shared" ref="BA248:BA251" si="637">IF($D$6=$G$9,AU248,AO248)</f>
        <v>0</v>
      </c>
      <c r="BB248" s="187">
        <f t="shared" ref="BB248:BB251" si="638">IF($D$6=$G$9,AV248,AP248)</f>
        <v>0</v>
      </c>
      <c r="BC248" s="1137">
        <v>9</v>
      </c>
      <c r="BD248" s="164" t="str">
        <f t="shared" si="606"/>
        <v>N/A</v>
      </c>
      <c r="BE248" s="185"/>
      <c r="BF248" s="1137">
        <v>9</v>
      </c>
      <c r="BG248" s="164" t="str">
        <f t="shared" si="607"/>
        <v>N/A</v>
      </c>
      <c r="BH248" s="185"/>
      <c r="BI248" s="1137">
        <v>9</v>
      </c>
      <c r="BJ248" s="164" t="str">
        <f t="shared" si="608"/>
        <v>N/A</v>
      </c>
      <c r="BK248" s="1027"/>
      <c r="BN248" s="167"/>
      <c r="BO248" s="167"/>
      <c r="BP248" s="167" t="str">
        <f t="shared" si="548"/>
        <v/>
      </c>
      <c r="BQ248" s="167">
        <f t="shared" si="601"/>
        <v>9</v>
      </c>
      <c r="BR248" s="167">
        <f t="shared" si="602"/>
        <v>9</v>
      </c>
      <c r="BS248" s="167">
        <f t="shared" si="603"/>
        <v>9</v>
      </c>
      <c r="BV248" s="193"/>
      <c r="BW248" s="193"/>
      <c r="BX248" s="193"/>
      <c r="BY248" s="193"/>
      <c r="BZ248" s="193"/>
      <c r="CA248" s="193"/>
    </row>
    <row r="249" spans="1:80" ht="15.75" thickBot="1" x14ac:dyDescent="0.3">
      <c r="A249" s="96">
        <v>241</v>
      </c>
      <c r="B249" s="96" t="s">
        <v>1050</v>
      </c>
      <c r="C249" s="742" t="s">
        <v>1050</v>
      </c>
      <c r="D249" s="1173" t="s">
        <v>1051</v>
      </c>
      <c r="E249" s="784" t="s">
        <v>236</v>
      </c>
      <c r="F249" s="784" t="s">
        <v>236</v>
      </c>
      <c r="G249" s="784" t="s">
        <v>236</v>
      </c>
      <c r="H249" s="784" t="s">
        <v>236</v>
      </c>
      <c r="I249" s="784" t="s">
        <v>236</v>
      </c>
      <c r="J249" s="784" t="s">
        <v>236</v>
      </c>
      <c r="K249" s="784" t="s">
        <v>236</v>
      </c>
      <c r="L249" s="784" t="s">
        <v>236</v>
      </c>
      <c r="M249" s="784" t="s">
        <v>236</v>
      </c>
      <c r="N249" s="784" t="s">
        <v>236</v>
      </c>
      <c r="O249" s="784" t="s">
        <v>236</v>
      </c>
      <c r="P249" s="785" t="s">
        <v>236</v>
      </c>
      <c r="Q249" s="785" t="s">
        <v>236</v>
      </c>
      <c r="S249" s="221" t="str">
        <f t="shared" si="589"/>
        <v>Yes/No</v>
      </c>
      <c r="T249" s="241"/>
      <c r="U249" s="239"/>
      <c r="V249" s="167"/>
      <c r="W249" s="167"/>
      <c r="X249" s="168"/>
      <c r="Y249" s="168"/>
      <c r="Z249" s="169"/>
      <c r="AA249" s="1037" t="str">
        <f>IF(AA145=0,0,S249)</f>
        <v>Yes/No</v>
      </c>
      <c r="AC249" s="171"/>
      <c r="AD249" s="240" t="s">
        <v>237</v>
      </c>
      <c r="AE249" s="240" t="s">
        <v>237</v>
      </c>
      <c r="AF249" s="240" t="s">
        <v>237</v>
      </c>
      <c r="AH249" s="214">
        <f>IF(VLOOKUP(D249,'Pre-Assessment Estimator'!$E$11:$AB$224,'Pre-Assessment Estimator'!$G$2,FALSE)&gt;AA249,AA249,VLOOKUP(D249,'Pre-Assessment Estimator'!$E$11:$AB$224,'Pre-Assessment Estimator'!$G$2,FALSE))</f>
        <v>0</v>
      </c>
      <c r="AI249" s="172">
        <f>IF(VLOOKUP(D249,'Pre-Assessment Estimator'!$E$11:$AB$224,'Pre-Assessment Estimator'!$N$2,FALSE)&gt;AA249,AA249,VLOOKUP(D249,'Pre-Assessment Estimator'!$E$11:$AB$224,'Pre-Assessment Estimator'!$N$2,FALSE))</f>
        <v>0</v>
      </c>
      <c r="AJ249" s="172">
        <f>IF(VLOOKUP(D249,'Pre-Assessment Estimator'!$E$11:$AB$224,'Pre-Assessment Estimator'!$U$2,FALSE)&gt;AA249,AA249,VLOOKUP(D249,'Pre-Assessment Estimator'!$E$11:$AB$224,'Pre-Assessment Estimator'!$U$2,FALSE))</f>
        <v>0</v>
      </c>
      <c r="AL249" s="740" t="s">
        <v>13</v>
      </c>
      <c r="AM249" s="232" t="s">
        <v>13</v>
      </c>
      <c r="AN249" s="232" t="s">
        <v>13</v>
      </c>
      <c r="AO249" s="232" t="s">
        <v>13</v>
      </c>
      <c r="AP249" s="233" t="s">
        <v>13</v>
      </c>
      <c r="AR249" s="740" t="s">
        <v>13</v>
      </c>
      <c r="AS249" s="232" t="s">
        <v>13</v>
      </c>
      <c r="AT249" s="232" t="s">
        <v>13</v>
      </c>
      <c r="AU249" s="232" t="s">
        <v>13</v>
      </c>
      <c r="AV249" s="233" t="s">
        <v>13</v>
      </c>
      <c r="AX249" s="182" t="str">
        <f t="shared" ref="AX249" si="639">IF($D$6=$G$9,AR249,AL249)</f>
        <v>Yes</v>
      </c>
      <c r="AY249" s="183" t="str">
        <f t="shared" ref="AY249" si="640">IF($D$6=$G$9,AS249,AM249)</f>
        <v>Yes</v>
      </c>
      <c r="AZ249" s="183" t="str">
        <f t="shared" ref="AZ249" si="641">IF($D$6=$G$9,AT249,AN249)</f>
        <v>Yes</v>
      </c>
      <c r="BA249" s="183" t="str">
        <f t="shared" ref="BA249" si="642">IF($D$6=$G$9,AU249,AO249)</f>
        <v>Yes</v>
      </c>
      <c r="BB249" s="187" t="str">
        <f t="shared" ref="BB249" si="643">IF($D$6=$G$9,AV249,AP249)</f>
        <v>Yes</v>
      </c>
      <c r="BC249" s="1019">
        <f>BC145</f>
        <v>0</v>
      </c>
      <c r="BD249" s="164" t="str">
        <f t="shared" si="606"/>
        <v>Unclassified</v>
      </c>
      <c r="BE249" s="185"/>
      <c r="BF249" s="1019">
        <f>BF145</f>
        <v>0</v>
      </c>
      <c r="BG249" s="164" t="str">
        <f t="shared" si="607"/>
        <v>Unclassified</v>
      </c>
      <c r="BH249" s="185"/>
      <c r="BI249" s="1019">
        <f>BI145</f>
        <v>0</v>
      </c>
      <c r="BJ249" s="164" t="str">
        <f t="shared" si="608"/>
        <v>Unclassified</v>
      </c>
      <c r="BK249" s="1027"/>
      <c r="BN249" s="167"/>
      <c r="BO249" s="167"/>
      <c r="BP249" s="167"/>
      <c r="BQ249" s="167">
        <f t="shared" ref="BQ249" si="644">IF(BP249="",9,(IF(AH249=AD_Yes,5,0)))</f>
        <v>9</v>
      </c>
      <c r="BR249" s="167">
        <f t="shared" ref="BR249" si="645">IF(BP249="",9,(IF(AI249=AD_Yes,5,0)))</f>
        <v>9</v>
      </c>
      <c r="BS249" s="167">
        <f t="shared" ref="BS249" si="646">IF(BP249="",9,(IF(AJ249=AD_Yes,5,0)))</f>
        <v>9</v>
      </c>
      <c r="BV249" s="193"/>
      <c r="BW249" s="193"/>
      <c r="BX249" s="193"/>
      <c r="BY249" s="193"/>
      <c r="BZ249" s="193"/>
      <c r="CA249" s="193"/>
    </row>
    <row r="250" spans="1:80" ht="15.75" thickBot="1" x14ac:dyDescent="0.3">
      <c r="A250" s="96">
        <v>242</v>
      </c>
      <c r="B250" s="96" t="s">
        <v>992</v>
      </c>
      <c r="C250" s="742" t="s">
        <v>992</v>
      </c>
      <c r="D250" s="986" t="s">
        <v>998</v>
      </c>
      <c r="E250" s="784" t="s">
        <v>236</v>
      </c>
      <c r="F250" s="784" t="s">
        <v>236</v>
      </c>
      <c r="G250" s="784" t="s">
        <v>236</v>
      </c>
      <c r="H250" s="784" t="s">
        <v>236</v>
      </c>
      <c r="I250" s="784" t="s">
        <v>236</v>
      </c>
      <c r="J250" s="784" t="s">
        <v>236</v>
      </c>
      <c r="K250" s="784" t="s">
        <v>236</v>
      </c>
      <c r="L250" s="784" t="s">
        <v>236</v>
      </c>
      <c r="M250" s="784" t="s">
        <v>236</v>
      </c>
      <c r="N250" s="784" t="s">
        <v>236</v>
      </c>
      <c r="O250" s="784" t="s">
        <v>236</v>
      </c>
      <c r="P250" s="785" t="s">
        <v>236</v>
      </c>
      <c r="Q250" s="785" t="s">
        <v>236</v>
      </c>
      <c r="S250" s="221" t="str">
        <f t="shared" si="589"/>
        <v>Yes/No</v>
      </c>
      <c r="T250" s="241"/>
      <c r="U250" s="239"/>
      <c r="V250" s="167"/>
      <c r="W250" s="167"/>
      <c r="X250" s="168"/>
      <c r="Y250" s="168"/>
      <c r="Z250" s="169"/>
      <c r="AA250" s="213" t="str">
        <f>S250</f>
        <v>Yes/No</v>
      </c>
      <c r="AC250" s="171"/>
      <c r="AD250" s="240" t="s">
        <v>237</v>
      </c>
      <c r="AE250" s="240" t="s">
        <v>237</v>
      </c>
      <c r="AF250" s="240" t="s">
        <v>237</v>
      </c>
      <c r="AH250" s="214">
        <f>IF(VLOOKUP(D250,'Pre-Assessment Estimator'!$E$11:$AB$224,'Pre-Assessment Estimator'!$G$2,FALSE)&gt;AA250,AA250,VLOOKUP(D250,'Pre-Assessment Estimator'!$E$11:$AB$224,'Pre-Assessment Estimator'!$G$2,FALSE))</f>
        <v>0</v>
      </c>
      <c r="AI250" s="172">
        <f>IF(VLOOKUP(D250,'Pre-Assessment Estimator'!$E$11:$AB$224,'Pre-Assessment Estimator'!$N$2,FALSE)&gt;AA250,AA250,VLOOKUP(D250,'Pre-Assessment Estimator'!$E$11:$AB$224,'Pre-Assessment Estimator'!$N$2,FALSE))</f>
        <v>0</v>
      </c>
      <c r="AJ250" s="172">
        <f>IF(VLOOKUP(D250,'Pre-Assessment Estimator'!$E$11:$AB$224,'Pre-Assessment Estimator'!$U$2,FALSE)&gt;AA250,AA250,VLOOKUP(D250,'Pre-Assessment Estimator'!$E$11:$AB$224,'Pre-Assessment Estimator'!$U$2,FALSE))</f>
        <v>0</v>
      </c>
      <c r="AL250" s="740" t="s">
        <v>13</v>
      </c>
      <c r="AM250" s="232" t="s">
        <v>13</v>
      </c>
      <c r="AN250" s="232" t="s">
        <v>13</v>
      </c>
      <c r="AO250" s="232"/>
      <c r="AP250" s="233"/>
      <c r="AR250" s="740" t="s">
        <v>13</v>
      </c>
      <c r="AS250" s="232" t="s">
        <v>13</v>
      </c>
      <c r="AT250" s="232" t="s">
        <v>13</v>
      </c>
      <c r="AU250" s="232"/>
      <c r="AV250" s="233"/>
      <c r="AX250" s="182" t="str">
        <f t="shared" si="634"/>
        <v>Yes</v>
      </c>
      <c r="AY250" s="183" t="str">
        <f t="shared" si="635"/>
        <v>Yes</v>
      </c>
      <c r="AZ250" s="183" t="str">
        <f t="shared" si="636"/>
        <v>Yes</v>
      </c>
      <c r="BA250" s="183">
        <f t="shared" si="637"/>
        <v>0</v>
      </c>
      <c r="BB250" s="187">
        <f t="shared" si="638"/>
        <v>0</v>
      </c>
      <c r="BC250" s="1206">
        <f>VLOOKUP(BD250,BP260:BQ265,2)</f>
        <v>5</v>
      </c>
      <c r="BD250" s="1171" t="str">
        <f>BD158</f>
        <v>Unclassified</v>
      </c>
      <c r="BE250" s="1170">
        <f>IF(AH250="Yes",3,0)</f>
        <v>0</v>
      </c>
      <c r="BF250" s="681">
        <f>VLOOKUP(BG250,BP260:BQ265,2)</f>
        <v>5</v>
      </c>
      <c r="BG250" s="1171" t="str">
        <f>BG158</f>
        <v>Unclassified</v>
      </c>
      <c r="BH250" s="1170">
        <f>IF(AI250="Yes",3,0)</f>
        <v>0</v>
      </c>
      <c r="BI250" s="681">
        <f>VLOOKUP(BJ250,BP260:BQ265,2)</f>
        <v>5</v>
      </c>
      <c r="BJ250" s="1171" t="str">
        <f>BJ158</f>
        <v>Unclassified</v>
      </c>
      <c r="BK250" s="1170">
        <f>IF(AJ250="Yes",3,0)</f>
        <v>0</v>
      </c>
      <c r="BN250" s="167"/>
      <c r="BO250" s="189" t="s">
        <v>13</v>
      </c>
      <c r="BP250" s="167" t="str">
        <f t="shared" si="548"/>
        <v>Yes</v>
      </c>
      <c r="BQ250" s="167">
        <f>IF(BP250="",9,(IF(AH250=AD_Yes,5,0)))</f>
        <v>0</v>
      </c>
      <c r="BR250" s="167">
        <f t="shared" ref="BR250" si="647">IF(BP250="",9,(IF(AI250=AD_Yes,5,0)))</f>
        <v>0</v>
      </c>
      <c r="BS250" s="167">
        <f t="shared" ref="BS250" si="648">IF(BP250="",9,(IF(AJ250=AD_Yes,5,0)))</f>
        <v>0</v>
      </c>
      <c r="BV250" s="193"/>
      <c r="BW250" s="193"/>
      <c r="BX250" s="193"/>
      <c r="BY250" s="193"/>
      <c r="BZ250" s="193"/>
      <c r="CA250" s="193"/>
    </row>
    <row r="251" spans="1:80" ht="15.75" thickBot="1" x14ac:dyDescent="0.3">
      <c r="A251" s="96">
        <v>243</v>
      </c>
      <c r="B251" s="96" t="s">
        <v>993</v>
      </c>
      <c r="C251" s="194" t="s">
        <v>993</v>
      </c>
      <c r="D251" s="1257" t="s">
        <v>999</v>
      </c>
      <c r="E251" s="784" t="s">
        <v>236</v>
      </c>
      <c r="F251" s="784" t="s">
        <v>236</v>
      </c>
      <c r="G251" s="784" t="s">
        <v>236</v>
      </c>
      <c r="H251" s="784" t="s">
        <v>236</v>
      </c>
      <c r="I251" s="784" t="s">
        <v>236</v>
      </c>
      <c r="J251" s="784" t="s">
        <v>236</v>
      </c>
      <c r="K251" s="784" t="s">
        <v>236</v>
      </c>
      <c r="L251" s="784" t="s">
        <v>236</v>
      </c>
      <c r="M251" s="784" t="s">
        <v>236</v>
      </c>
      <c r="N251" s="784" t="s">
        <v>236</v>
      </c>
      <c r="O251" s="784" t="s">
        <v>236</v>
      </c>
      <c r="P251" s="785" t="s">
        <v>236</v>
      </c>
      <c r="Q251" s="785" t="s">
        <v>236</v>
      </c>
      <c r="S251" s="221" t="str">
        <f t="shared" si="589"/>
        <v>Yes/No</v>
      </c>
      <c r="T251" s="241"/>
      <c r="U251" s="239"/>
      <c r="V251" s="167"/>
      <c r="W251" s="167"/>
      <c r="X251" s="168"/>
      <c r="Y251" s="168"/>
      <c r="Z251" s="169"/>
      <c r="AA251" s="213" t="str">
        <f>S251</f>
        <v>Yes/No</v>
      </c>
      <c r="AC251" s="171"/>
      <c r="AD251" s="240" t="s">
        <v>237</v>
      </c>
      <c r="AE251" s="240" t="s">
        <v>237</v>
      </c>
      <c r="AF251" s="240" t="s">
        <v>237</v>
      </c>
      <c r="AH251" s="214">
        <f>IF(VLOOKUP(D251,'Pre-Assessment Estimator'!$E$11:$AB$224,'Pre-Assessment Estimator'!$G$2,FALSE)&gt;AA251,AA251,VLOOKUP(D251,'Pre-Assessment Estimator'!$E$11:$AB$224,'Pre-Assessment Estimator'!$G$2,FALSE))</f>
        <v>0</v>
      </c>
      <c r="AI251" s="172">
        <f>IF(VLOOKUP(D251,'Pre-Assessment Estimator'!$E$11:$AB$224,'Pre-Assessment Estimator'!$N$2,FALSE)&gt;AA251,AA251,VLOOKUP(D251,'Pre-Assessment Estimator'!$E$11:$AB$224,'Pre-Assessment Estimator'!$N$2,FALSE))</f>
        <v>0</v>
      </c>
      <c r="AJ251" s="172">
        <f>IF(VLOOKUP(D251,'Pre-Assessment Estimator'!$E$11:$AB$224,'Pre-Assessment Estimator'!$U$2,FALSE)&gt;AA251,AA251,VLOOKUP(D251,'Pre-Assessment Estimator'!$E$11:$AB$224,'Pre-Assessment Estimator'!$U$2,FALSE))</f>
        <v>0</v>
      </c>
      <c r="AL251" s="309"/>
      <c r="AM251" s="310"/>
      <c r="AN251" s="310"/>
      <c r="AO251" s="310" t="s">
        <v>13</v>
      </c>
      <c r="AP251" s="311" t="s">
        <v>13</v>
      </c>
      <c r="AR251" s="309"/>
      <c r="AS251" s="310"/>
      <c r="AT251" s="310"/>
      <c r="AU251" s="310" t="s">
        <v>13</v>
      </c>
      <c r="AV251" s="311" t="s">
        <v>13</v>
      </c>
      <c r="AX251" s="182">
        <f t="shared" si="634"/>
        <v>0</v>
      </c>
      <c r="AY251" s="183">
        <f t="shared" si="635"/>
        <v>0</v>
      </c>
      <c r="AZ251" s="183">
        <f t="shared" si="636"/>
        <v>0</v>
      </c>
      <c r="BA251" s="183" t="str">
        <f t="shared" si="637"/>
        <v>Yes</v>
      </c>
      <c r="BB251" s="187" t="str">
        <f t="shared" si="638"/>
        <v>Yes</v>
      </c>
      <c r="BC251" s="182">
        <f>IF(AH251="Yes",5,3)</f>
        <v>3</v>
      </c>
      <c r="BD251" s="164" t="str">
        <f t="shared" ref="BD251" si="649">VLOOKUP(BC251,$BN$282:$BS$288,6,FALSE)</f>
        <v>Very Good</v>
      </c>
      <c r="BE251" s="185"/>
      <c r="BF251" s="182">
        <f>IF(AI251="Yes",5,3)</f>
        <v>3</v>
      </c>
      <c r="BG251" s="164" t="str">
        <f t="shared" ref="BG251" si="650">VLOOKUP(BF251,$BN$282:$BS$288,6,FALSE)</f>
        <v>Very Good</v>
      </c>
      <c r="BH251" s="185"/>
      <c r="BI251" s="182">
        <f>IF(AJ251="Yes",5,3)</f>
        <v>3</v>
      </c>
      <c r="BJ251" s="164" t="str">
        <f t="shared" ref="BJ251" si="651">VLOOKUP(BI251,$BN$282:$BS$288,6,FALSE)</f>
        <v>Very Good</v>
      </c>
      <c r="BK251" s="185"/>
      <c r="BN251" s="193"/>
      <c r="BO251" s="167" t="s">
        <v>13</v>
      </c>
      <c r="BP251" s="167" t="str">
        <f t="shared" ref="BP251" si="652">IF(BN251&lt;&gt;"",BN251,IF(BO251&lt;&gt;"",BO251,""))</f>
        <v>Yes</v>
      </c>
      <c r="BQ251" s="167">
        <f>IF(BP251="",9,(IF(AH251=AD_Yes,5,0)))</f>
        <v>0</v>
      </c>
      <c r="BR251" s="167">
        <f>IF(BP251="",9,(IF(AI251=AD_Yes,5,0)))</f>
        <v>0</v>
      </c>
      <c r="BS251" s="167">
        <f>IF(BP251="",9,(IF(AJ251=AD_Yes,5,0)))</f>
        <v>0</v>
      </c>
      <c r="BV251" s="196"/>
      <c r="BW251" s="196"/>
      <c r="BX251" s="196">
        <f>IFERROR(VLOOKUP($D251,'Pre-Assessment Estimator'!$E$11:$AI$224,'Pre-Assessment Estimator'!AI$2,FALSE),"")</f>
        <v>0</v>
      </c>
      <c r="BY251" s="196" t="str">
        <f>IFERROR(VLOOKUP($BW251,$D$291:$G$324,E$289,FALSE),"")</f>
        <v/>
      </c>
      <c r="BZ251" s="196" t="str">
        <f>IFERROR(VLOOKUP($BW251,$D$291:$G$324,F$289,FALSE),"")</f>
        <v/>
      </c>
      <c r="CA251" s="196"/>
      <c r="CB251" s="96" t="str">
        <f>IFERROR(VLOOKUP($BW251,$D$291:$G$324,H$289,FALSE),"")</f>
        <v/>
      </c>
    </row>
    <row r="252" spans="1:80" ht="15.75" thickBot="1" x14ac:dyDescent="0.3">
      <c r="A252" s="96">
        <v>244</v>
      </c>
      <c r="B252" s="96" t="s">
        <v>1043</v>
      </c>
      <c r="C252" s="242" t="s">
        <v>1043</v>
      </c>
      <c r="D252" s="1258" t="s">
        <v>1047</v>
      </c>
      <c r="E252" s="789" t="s">
        <v>236</v>
      </c>
      <c r="F252" s="789" t="s">
        <v>236</v>
      </c>
      <c r="G252" s="789" t="s">
        <v>236</v>
      </c>
      <c r="H252" s="789" t="s">
        <v>236</v>
      </c>
      <c r="I252" s="789" t="s">
        <v>236</v>
      </c>
      <c r="J252" s="789" t="s">
        <v>236</v>
      </c>
      <c r="K252" s="789" t="s">
        <v>236</v>
      </c>
      <c r="L252" s="789" t="s">
        <v>236</v>
      </c>
      <c r="M252" s="789" t="s">
        <v>236</v>
      </c>
      <c r="N252" s="789" t="s">
        <v>236</v>
      </c>
      <c r="O252" s="789" t="s">
        <v>236</v>
      </c>
      <c r="P252" s="789" t="s">
        <v>236</v>
      </c>
      <c r="Q252" s="790" t="s">
        <v>236</v>
      </c>
      <c r="S252" s="221" t="str">
        <f>HLOOKUP($D$6,$E$9:$Q$254,$A252,FALSE)</f>
        <v>Yes/No</v>
      </c>
      <c r="T252" s="241"/>
      <c r="U252" s="239"/>
      <c r="V252" s="167"/>
      <c r="W252" s="167"/>
      <c r="X252" s="168"/>
      <c r="Y252" s="168"/>
      <c r="Z252" s="169"/>
      <c r="AA252" s="213" t="str">
        <f>S252</f>
        <v>Yes/No</v>
      </c>
      <c r="AC252" s="171"/>
      <c r="AD252" s="240" t="s">
        <v>237</v>
      </c>
      <c r="AE252" s="240" t="s">
        <v>237</v>
      </c>
      <c r="AF252" s="240" t="s">
        <v>237</v>
      </c>
      <c r="AH252" s="214">
        <f>IF(VLOOKUP(D252,'Pre-Assessment Estimator'!$E$11:$AB$224,'Pre-Assessment Estimator'!$G$2,FALSE)&gt;AA252,AA252,VLOOKUP(D252,'Pre-Assessment Estimator'!$E$11:$AB$224,'Pre-Assessment Estimator'!$G$2,FALSE))</f>
        <v>0</v>
      </c>
      <c r="AI252" s="172">
        <f>IF(VLOOKUP(D252,'Pre-Assessment Estimator'!$E$11:$AB$224,'Pre-Assessment Estimator'!$N$2,FALSE)&gt;AA252,AA252,VLOOKUP(D252,'Pre-Assessment Estimator'!$E$11:$AB$224,'Pre-Assessment Estimator'!$N$2,FALSE))</f>
        <v>0</v>
      </c>
      <c r="AJ252" s="172">
        <f>IF(VLOOKUP(D252,'Pre-Assessment Estimator'!$E$11:$AB$224,'Pre-Assessment Estimator'!$U$2,FALSE)&gt;AA252,AA252,VLOOKUP(D252,'Pre-Assessment Estimator'!$E$11:$AB$224,'Pre-Assessment Estimator'!$U$2,FALSE))</f>
        <v>0</v>
      </c>
      <c r="AL252" s="1256"/>
      <c r="AM252" s="1256"/>
      <c r="AN252" s="1256"/>
      <c r="AO252" s="1256"/>
      <c r="AP252" s="1256"/>
      <c r="AR252" s="1256"/>
      <c r="AS252" s="1256"/>
      <c r="AT252" s="1256"/>
      <c r="AU252" s="1256"/>
      <c r="AV252" s="1256"/>
      <c r="AX252" s="236"/>
      <c r="AY252" s="236"/>
      <c r="AZ252" s="236"/>
      <c r="BA252" s="236"/>
      <c r="BB252" s="236"/>
      <c r="BC252" s="236"/>
      <c r="BD252" s="1260" t="s">
        <v>15</v>
      </c>
      <c r="BE252" s="99"/>
      <c r="BF252" s="236"/>
      <c r="BG252" s="1260" t="s">
        <v>15</v>
      </c>
      <c r="BH252" s="1260"/>
      <c r="BI252" s="1261"/>
      <c r="BJ252" s="1260" t="s">
        <v>15</v>
      </c>
      <c r="BK252" s="99"/>
      <c r="BN252" s="99"/>
      <c r="BO252" s="167" t="s">
        <v>13</v>
      </c>
      <c r="BP252" s="167" t="str">
        <f t="shared" ref="BP252:BP254" si="653">IF(BN252&lt;&gt;"",BN252,IF(BO252&lt;&gt;"",BO252,""))</f>
        <v>Yes</v>
      </c>
      <c r="BQ252" s="167">
        <f>IF(BP252="",9,(IF(AH252=AD_Yes,5,0)))</f>
        <v>0</v>
      </c>
      <c r="BR252" s="167">
        <f>IF(BP252="",9,(IF(AI252=AD_Yes,5,0)))</f>
        <v>0</v>
      </c>
      <c r="BS252" s="167">
        <f>IF(BP252="",9,(IF(AJ252=AD_Yes,5,0)))</f>
        <v>0</v>
      </c>
      <c r="BV252" s="242"/>
      <c r="BW252" s="242"/>
      <c r="BX252" s="242"/>
      <c r="BY252" s="242"/>
      <c r="BZ252" s="242"/>
      <c r="CA252" s="242"/>
    </row>
    <row r="253" spans="1:80" ht="15.75" thickBot="1" x14ac:dyDescent="0.3">
      <c r="A253" s="96">
        <v>245</v>
      </c>
      <c r="B253" s="242" t="s">
        <v>1044</v>
      </c>
      <c r="C253" s="242" t="s">
        <v>1044</v>
      </c>
      <c r="D253" s="960" t="s">
        <v>1048</v>
      </c>
      <c r="E253" s="782" t="s">
        <v>236</v>
      </c>
      <c r="F253" s="782" t="s">
        <v>236</v>
      </c>
      <c r="G253" s="782" t="s">
        <v>236</v>
      </c>
      <c r="H253" s="782" t="s">
        <v>236</v>
      </c>
      <c r="I253" s="782" t="s">
        <v>236</v>
      </c>
      <c r="J253" s="782" t="s">
        <v>236</v>
      </c>
      <c r="K253" s="782" t="s">
        <v>236</v>
      </c>
      <c r="L253" s="782" t="s">
        <v>236</v>
      </c>
      <c r="M253" s="782" t="s">
        <v>236</v>
      </c>
      <c r="N253" s="782" t="s">
        <v>236</v>
      </c>
      <c r="O253" s="782" t="s">
        <v>236</v>
      </c>
      <c r="P253" s="782" t="s">
        <v>236</v>
      </c>
      <c r="Q253" s="783" t="s">
        <v>236</v>
      </c>
      <c r="S253" s="221" t="str">
        <f>HLOOKUP($D$6,$E$9:$Q$254,$A253,FALSE)</f>
        <v>Yes/No</v>
      </c>
      <c r="T253" s="241"/>
      <c r="U253" s="239"/>
      <c r="V253" s="167"/>
      <c r="W253" s="167"/>
      <c r="X253" s="168"/>
      <c r="Y253" s="168"/>
      <c r="Z253" s="169"/>
      <c r="AA253" s="213" t="str">
        <f>IF(AA114=0,0,S253)</f>
        <v>Yes/No</v>
      </c>
      <c r="AC253" s="171"/>
      <c r="AD253" s="240" t="s">
        <v>237</v>
      </c>
      <c r="AE253" s="240" t="s">
        <v>237</v>
      </c>
      <c r="AF253" s="240" t="s">
        <v>237</v>
      </c>
      <c r="AH253" s="214">
        <f>IF(VLOOKUP(D253,'Pre-Assessment Estimator'!$E$11:$AB$224,'Pre-Assessment Estimator'!$G$2,FALSE)&gt;AA253,AA253,VLOOKUP(D253,'Pre-Assessment Estimator'!$E$11:$AB$224,'Pre-Assessment Estimator'!$G$2,FALSE))</f>
        <v>0</v>
      </c>
      <c r="AI253" s="172">
        <f>IF(VLOOKUP(D253,'Pre-Assessment Estimator'!$E$11:$AB$224,'Pre-Assessment Estimator'!$N$2,FALSE)&gt;AA253,AA253,VLOOKUP(D253,'Pre-Assessment Estimator'!$E$11:$AB$224,'Pre-Assessment Estimator'!$N$2,FALSE))</f>
        <v>0</v>
      </c>
      <c r="AJ253" s="172">
        <f>IF(VLOOKUP(D253,'Pre-Assessment Estimator'!$E$11:$AB$224,'Pre-Assessment Estimator'!$U$2,FALSE)&gt;AA253,AA253,VLOOKUP(D253,'Pre-Assessment Estimator'!$E$11:$AB$224,'Pre-Assessment Estimator'!$U$2,FALSE))</f>
        <v>0</v>
      </c>
      <c r="AL253" s="1256"/>
      <c r="AM253" s="1256"/>
      <c r="AN253" s="1256"/>
      <c r="AO253" s="1256"/>
      <c r="AP253" s="1256"/>
      <c r="AR253" s="1256"/>
      <c r="AS253" s="1256"/>
      <c r="AT253" s="1256"/>
      <c r="AU253" s="1256"/>
      <c r="AV253" s="1256"/>
      <c r="AX253" s="236"/>
      <c r="AY253" s="236"/>
      <c r="AZ253" s="236"/>
      <c r="BA253" s="236"/>
      <c r="BB253" s="236"/>
      <c r="BC253" s="236"/>
      <c r="BD253" s="1260" t="s">
        <v>15</v>
      </c>
      <c r="BE253" s="99"/>
      <c r="BF253" s="236"/>
      <c r="BG253" s="1260" t="s">
        <v>15</v>
      </c>
      <c r="BH253" s="1260"/>
      <c r="BI253" s="1261"/>
      <c r="BJ253" s="1260" t="s">
        <v>15</v>
      </c>
      <c r="BK253" s="99"/>
      <c r="BN253" s="99"/>
      <c r="BO253" s="167" t="s">
        <v>13</v>
      </c>
      <c r="BP253" s="167" t="str">
        <f t="shared" si="653"/>
        <v>Yes</v>
      </c>
      <c r="BQ253" s="167">
        <f>IF(BP253="",9,(IF(AH253=AD_Yes,5,0)))</f>
        <v>0</v>
      </c>
      <c r="BR253" s="167">
        <f>IF(BP253="",9,(IF(AI253=AD_Yes,5,0)))</f>
        <v>0</v>
      </c>
      <c r="BS253" s="167">
        <f>IF(BP253="",9,(IF(AJ253=AD_Yes,5,0)))</f>
        <v>0</v>
      </c>
      <c r="BV253" s="242"/>
      <c r="BW253" s="242"/>
      <c r="BX253" s="242"/>
      <c r="BY253" s="242"/>
      <c r="BZ253" s="242"/>
      <c r="CA253" s="242"/>
    </row>
    <row r="254" spans="1:80" ht="15.75" thickBot="1" x14ac:dyDescent="0.3">
      <c r="A254" s="96">
        <v>246</v>
      </c>
      <c r="B254" s="242" t="s">
        <v>1045</v>
      </c>
      <c r="C254" s="242" t="s">
        <v>1045</v>
      </c>
      <c r="D254" s="1259" t="s">
        <v>1049</v>
      </c>
      <c r="E254" s="791" t="s">
        <v>236</v>
      </c>
      <c r="F254" s="791" t="s">
        <v>236</v>
      </c>
      <c r="G254" s="791" t="s">
        <v>236</v>
      </c>
      <c r="H254" s="791" t="s">
        <v>236</v>
      </c>
      <c r="I254" s="791" t="s">
        <v>236</v>
      </c>
      <c r="J254" s="791" t="s">
        <v>236</v>
      </c>
      <c r="K254" s="791" t="s">
        <v>236</v>
      </c>
      <c r="L254" s="791" t="s">
        <v>236</v>
      </c>
      <c r="M254" s="791" t="s">
        <v>236</v>
      </c>
      <c r="N254" s="791" t="s">
        <v>236</v>
      </c>
      <c r="O254" s="791" t="s">
        <v>236</v>
      </c>
      <c r="P254" s="791" t="s">
        <v>236</v>
      </c>
      <c r="Q254" s="792" t="s">
        <v>236</v>
      </c>
      <c r="S254" s="221" t="str">
        <f>HLOOKUP($D$6,$E$9:$Q$254,$A254,FALSE)</f>
        <v>Yes/No</v>
      </c>
      <c r="T254" s="241"/>
      <c r="U254" s="239"/>
      <c r="V254" s="167"/>
      <c r="W254" s="167"/>
      <c r="X254" s="168"/>
      <c r="Y254" s="168"/>
      <c r="Z254" s="169"/>
      <c r="AA254" s="213" t="str">
        <f>S254</f>
        <v>Yes/No</v>
      </c>
      <c r="AC254" s="171"/>
      <c r="AD254" s="240" t="s">
        <v>237</v>
      </c>
      <c r="AE254" s="240" t="s">
        <v>237</v>
      </c>
      <c r="AF254" s="240" t="s">
        <v>237</v>
      </c>
      <c r="AH254" s="214">
        <f>IF(VLOOKUP(D254,'Pre-Assessment Estimator'!$E$11:$AB$224,'Pre-Assessment Estimator'!$G$2,FALSE)&gt;AA254,AA254,VLOOKUP(D254,'Pre-Assessment Estimator'!$E$11:$AB$224,'Pre-Assessment Estimator'!$G$2,FALSE))</f>
        <v>0</v>
      </c>
      <c r="AI254" s="172">
        <f>IF(VLOOKUP(D254,'Pre-Assessment Estimator'!$E$11:$AB$224,'Pre-Assessment Estimator'!$N$2,FALSE)&gt;AA254,AA254,VLOOKUP(D254,'Pre-Assessment Estimator'!$E$11:$AB$224,'Pre-Assessment Estimator'!$N$2,FALSE))</f>
        <v>0</v>
      </c>
      <c r="AJ254" s="172">
        <f>IF(VLOOKUP(D254,'Pre-Assessment Estimator'!$E$11:$AB$224,'Pre-Assessment Estimator'!$U$2,FALSE)&gt;AA254,AA254,VLOOKUP(D254,'Pre-Assessment Estimator'!$E$11:$AB$224,'Pre-Assessment Estimator'!$U$2,FALSE))</f>
        <v>0</v>
      </c>
      <c r="AL254" s="1256"/>
      <c r="AM254" s="1256"/>
      <c r="AN254" s="1256"/>
      <c r="AO254" s="1256"/>
      <c r="AP254" s="1256"/>
      <c r="AR254" s="1256"/>
      <c r="AS254" s="1256"/>
      <c r="AT254" s="1256"/>
      <c r="AU254" s="1256"/>
      <c r="AV254" s="1256"/>
      <c r="AX254" s="236"/>
      <c r="AY254" s="236"/>
      <c r="AZ254" s="236"/>
      <c r="BA254" s="236"/>
      <c r="BB254" s="236"/>
      <c r="BC254" s="236"/>
      <c r="BD254" s="1260" t="s">
        <v>15</v>
      </c>
      <c r="BE254" s="99"/>
      <c r="BF254" s="236"/>
      <c r="BG254" s="1260" t="s">
        <v>15</v>
      </c>
      <c r="BH254" s="1260"/>
      <c r="BI254" s="1261"/>
      <c r="BJ254" s="1260" t="s">
        <v>15</v>
      </c>
      <c r="BK254" s="99"/>
      <c r="BN254" s="99"/>
      <c r="BO254" s="167" t="s">
        <v>13</v>
      </c>
      <c r="BP254" s="167" t="str">
        <f t="shared" si="653"/>
        <v>Yes</v>
      </c>
      <c r="BQ254" s="167">
        <f>IF(BP254="",9,(IF(AH254=AD_Yes,5,0)))</f>
        <v>0</v>
      </c>
      <c r="BR254" s="167">
        <f>IF(BP254="",9,(IF(AI254=AD_Yes,5,0)))</f>
        <v>0</v>
      </c>
      <c r="BS254" s="167">
        <f>IF(BP254="",9,(IF(AJ254=AD_Yes,5,0)))</f>
        <v>0</v>
      </c>
      <c r="BV254" s="242"/>
      <c r="BW254" s="242"/>
      <c r="BX254" s="242"/>
      <c r="BY254" s="242"/>
      <c r="BZ254" s="242"/>
      <c r="CA254" s="242"/>
    </row>
    <row r="255" spans="1:80" ht="15.75" thickBot="1" x14ac:dyDescent="0.3">
      <c r="A255" s="96">
        <v>247</v>
      </c>
      <c r="D255" s="1172"/>
      <c r="BN255" s="1163" t="s">
        <v>991</v>
      </c>
      <c r="BO255" s="1080"/>
      <c r="BP255" s="1080"/>
      <c r="BQ255" s="1200">
        <f>MIN(BQ10:BQ254)</f>
        <v>0</v>
      </c>
      <c r="BR255" s="1200">
        <f>MIN(BR10:BR254)</f>
        <v>0</v>
      </c>
      <c r="BS255" s="1200">
        <f>MIN(BS10:BS254)</f>
        <v>0</v>
      </c>
    </row>
    <row r="256" spans="1:80" ht="15.75" thickBot="1" x14ac:dyDescent="0.3">
      <c r="A256" s="96">
        <v>248</v>
      </c>
      <c r="D256" s="242" t="s">
        <v>268</v>
      </c>
      <c r="E256" s="774">
        <f t="shared" ref="E256:Q256" si="654">E36+E66+E97+E110+E123+E152+E166+E197+E214</f>
        <v>143</v>
      </c>
      <c r="F256" s="774">
        <f t="shared" si="654"/>
        <v>137</v>
      </c>
      <c r="G256" s="774">
        <f t="shared" si="654"/>
        <v>136</v>
      </c>
      <c r="H256" s="774">
        <f t="shared" si="654"/>
        <v>137</v>
      </c>
      <c r="I256" s="774">
        <f t="shared" si="654"/>
        <v>142</v>
      </c>
      <c r="J256" s="774">
        <f t="shared" si="654"/>
        <v>137</v>
      </c>
      <c r="K256" s="774">
        <f t="shared" si="654"/>
        <v>137</v>
      </c>
      <c r="L256" s="774">
        <f t="shared" si="654"/>
        <v>139</v>
      </c>
      <c r="M256" s="774">
        <f t="shared" si="654"/>
        <v>139</v>
      </c>
      <c r="N256" s="774">
        <f t="shared" si="654"/>
        <v>137</v>
      </c>
      <c r="O256" s="774">
        <f t="shared" si="654"/>
        <v>137</v>
      </c>
      <c r="P256" s="774">
        <f t="shared" si="654"/>
        <v>142</v>
      </c>
      <c r="Q256" s="774">
        <f t="shared" si="654"/>
        <v>142</v>
      </c>
      <c r="S256" s="96">
        <f>S36+S66+S97+S110+S123+S152+S166+S197+S214+S231</f>
        <v>153</v>
      </c>
      <c r="Z256" s="96">
        <f>Poeng_tot-Poeng_tilgj</f>
        <v>0</v>
      </c>
      <c r="AA256" s="96">
        <f>AA36+AA66+AA97+AA110+AA123+AA152+AA166+AA197+AA214+AA231</f>
        <v>153</v>
      </c>
      <c r="BQ256" s="167" t="str">
        <f>IF(BQ255=0,AD_no,AD_Yes)</f>
        <v>No</v>
      </c>
      <c r="BR256" s="167" t="str">
        <f>IF(BR255=0,AD_no,AD_Yes)</f>
        <v>No</v>
      </c>
      <c r="BS256" s="167" t="str">
        <f>IF(BS255=0,AD_no,AD_Yes)</f>
        <v>No</v>
      </c>
    </row>
    <row r="257" spans="3:72" x14ac:dyDescent="0.25">
      <c r="Z257" s="96">
        <f>Z36+Z66+Z97+Z110+Z123+Z152+Z166+Z197+Z214+Z231</f>
        <v>0</v>
      </c>
      <c r="AH257" s="96" t="str">
        <f>AD_Yes</f>
        <v>Yes</v>
      </c>
      <c r="AW257" s="1302" t="s">
        <v>241</v>
      </c>
      <c r="AX257" s="1303"/>
      <c r="AY257" s="1303"/>
      <c r="AZ257" s="1303"/>
      <c r="BA257" s="1303"/>
      <c r="BB257" s="1304"/>
      <c r="BC257" s="243">
        <f>MIN(BC10:BC251)</f>
        <v>0</v>
      </c>
      <c r="BD257" s="84" t="str">
        <f>VLOOKUP(BC257,$BN$282:$BO$288,2,FALSE)</f>
        <v>Unclassified</v>
      </c>
      <c r="BE257" s="85">
        <f>VLOOKUP(BP_MinStandards,BP260:BR265,2,FALSE)</f>
        <v>0</v>
      </c>
      <c r="BF257" s="243">
        <f>MIN(BF10:BF251)</f>
        <v>0</v>
      </c>
      <c r="BG257" s="84" t="str">
        <f>VLOOKUP(BF257,$BN$282:$BO$288,2,FALSE)</f>
        <v>Unclassified</v>
      </c>
      <c r="BH257" s="85">
        <f>VLOOKUP(BP_MinStandards_design,BP260:BR265,2,FALSE)</f>
        <v>0</v>
      </c>
      <c r="BI257" s="243">
        <f>MIN(BI10:BI251)</f>
        <v>0</v>
      </c>
      <c r="BJ257" s="84" t="str">
        <f>VLOOKUP(BI257,$BN$282:$BO$288,2,FALSE)</f>
        <v>Unclassified</v>
      </c>
      <c r="BK257" s="85">
        <f>VLOOKUP(BP_MinStandards_const,BP260:BR265,2,FALSE)</f>
        <v>0</v>
      </c>
    </row>
    <row r="258" spans="3:72" x14ac:dyDescent="0.25">
      <c r="C258" s="251"/>
      <c r="D258" s="251" t="s">
        <v>229</v>
      </c>
      <c r="E258" s="694"/>
      <c r="F258" s="694"/>
      <c r="G258" s="694"/>
      <c r="H258" s="694"/>
      <c r="I258" s="694"/>
      <c r="J258" s="694"/>
      <c r="K258" s="694"/>
      <c r="L258" s="694"/>
      <c r="M258" s="694"/>
      <c r="N258" s="694"/>
      <c r="O258" s="694"/>
      <c r="P258" s="694"/>
      <c r="Q258" s="694"/>
      <c r="AD258" s="96">
        <f>Man_cont_tot+Hea_cont_tot+Ene_cont_tot+Tra_cont_tot+Wat_cont_tot+Mat_cont_tot+Wst_cont_tot+LE_cont_tot+Pol_cont_tot+Inn_cont_tot</f>
        <v>0</v>
      </c>
      <c r="AH258" s="96" t="str">
        <f>AD_no</f>
        <v>No</v>
      </c>
      <c r="AW258" s="1278" t="s">
        <v>242</v>
      </c>
      <c r="AX258" s="1279"/>
      <c r="AY258" s="1279"/>
      <c r="AZ258" s="1279"/>
      <c r="BA258" s="1279"/>
      <c r="BB258" s="1280"/>
      <c r="BC258" s="239">
        <f>Man_Credits+Hea_Credits+Ene_Credits+Tra_Credits+Wat__Credits+Mat_Credits+Wst_Credits+LE_Credits+Pol_Credits+Inn_Credits</f>
        <v>153</v>
      </c>
      <c r="BD258" s="167"/>
      <c r="BE258" s="185"/>
      <c r="BF258" s="239">
        <f>Man_Credits+Hea_Credits+Ene_Credits+Tra_Credits+Wat__Credits+Mat_Credits+Wst_Credits+LE_Credits+Pol_Credits+Inn_Credits</f>
        <v>153</v>
      </c>
      <c r="BG258" s="167"/>
      <c r="BH258" s="185"/>
      <c r="BI258" s="239">
        <f>Man_Credits+Hea_Credits+Ene_Credits+Tra_Credits+Wat__Credits+Mat_Credits+Wst_Credits+LE_Credits+Pol_Credits+Inn_Credits</f>
        <v>153</v>
      </c>
      <c r="BJ258" s="167"/>
      <c r="BK258" s="185"/>
    </row>
    <row r="259" spans="3:72" ht="15.75" thickBot="1" x14ac:dyDescent="0.3">
      <c r="D259" s="96" t="s">
        <v>702</v>
      </c>
      <c r="AW259" s="1278" t="s">
        <v>243</v>
      </c>
      <c r="AX259" s="1279"/>
      <c r="AY259" s="1279"/>
      <c r="AZ259" s="1279"/>
      <c r="BA259" s="1279"/>
      <c r="BB259" s="1280"/>
      <c r="BC259" s="239">
        <f>Achieved_initial</f>
        <v>0</v>
      </c>
      <c r="BD259" s="167"/>
      <c r="BE259" s="185"/>
      <c r="BF259" s="239">
        <f>Achieved_design</f>
        <v>0</v>
      </c>
      <c r="BG259" s="167"/>
      <c r="BH259" s="185"/>
      <c r="BI259" s="239">
        <f>Achieved_const</f>
        <v>0</v>
      </c>
      <c r="BJ259" s="167"/>
      <c r="BK259" s="185"/>
    </row>
    <row r="260" spans="3:72" ht="15.75" thickBot="1" x14ac:dyDescent="0.3">
      <c r="D260" s="96" t="s">
        <v>713</v>
      </c>
      <c r="M260" s="832"/>
      <c r="AW260" s="1282" t="s">
        <v>246</v>
      </c>
      <c r="AX260" s="1283"/>
      <c r="AY260" s="1283"/>
      <c r="AZ260" s="1283"/>
      <c r="BA260" s="1283"/>
      <c r="BB260" s="1284"/>
      <c r="BC260" s="88">
        <f>Score_Initial</f>
        <v>0</v>
      </c>
      <c r="BD260" s="86" t="str">
        <f>IF(BC260&gt;=BO265,BP265,IF(BC260&gt;=BO264,BP264,IF(BC260&gt;=BO263,BP263,IF(BC260&gt;=BO262,BP262,IF(BC260&gt;=BO261,BP261,BP260)))))</f>
        <v>Unclassified</v>
      </c>
      <c r="BE260" s="87">
        <f>VLOOKUP(BD260,BP260:BR265,2,FALSE)</f>
        <v>0</v>
      </c>
      <c r="BF260" s="88">
        <f>Score_design</f>
        <v>0</v>
      </c>
      <c r="BG260" s="86" t="str">
        <f>IF(BF260&gt;=BO265,BP265,IF(BF260&gt;=BO264,BP264,IF(BF260&gt;=BO263,BP263,IF(BF260&gt;=BO262,BP262,IF(BF260&gt;=BO261,BP261,BP260)))))</f>
        <v>Unclassified</v>
      </c>
      <c r="BH260" s="87">
        <f>VLOOKUP(BG260,BP260:BR265,2,FALSE)</f>
        <v>0</v>
      </c>
      <c r="BI260" s="88">
        <f>Score_const</f>
        <v>0</v>
      </c>
      <c r="BJ260" s="86" t="str">
        <f>IF(BI260&gt;=BO265,BP265,IF(BI260&gt;=BO264,BP264,IF(BI260&gt;=BO263,BP263,IF(BI260&gt;=BO262,BP262,IF(BI260&gt;=BO261,BP261,BP260)))))</f>
        <v>Unclassified</v>
      </c>
      <c r="BK260" s="87">
        <f>VLOOKUP(BJ260,BP260:BR265,2,FALSE)</f>
        <v>0</v>
      </c>
      <c r="BN260" s="244" t="s">
        <v>245</v>
      </c>
      <c r="BO260" s="245">
        <v>0</v>
      </c>
      <c r="BP260" s="246" t="s">
        <v>75</v>
      </c>
      <c r="BQ260" s="247">
        <v>0</v>
      </c>
      <c r="BS260" s="96" t="s">
        <v>75</v>
      </c>
      <c r="BT260" s="96" t="s">
        <v>831</v>
      </c>
    </row>
    <row r="261" spans="3:72" ht="15.75" thickBot="1" x14ac:dyDescent="0.3">
      <c r="D261" s="96" t="s">
        <v>703</v>
      </c>
      <c r="M261" s="832"/>
      <c r="AW261" s="130"/>
      <c r="AX261" s="130"/>
      <c r="AY261" s="130"/>
      <c r="AZ261" s="130"/>
      <c r="BA261" s="130"/>
      <c r="BB261" s="130"/>
      <c r="BC261" s="130"/>
      <c r="BD261" s="130"/>
      <c r="BN261" s="248" t="s">
        <v>244</v>
      </c>
      <c r="BO261" s="249">
        <v>0.3</v>
      </c>
      <c r="BP261" s="99" t="s">
        <v>77</v>
      </c>
      <c r="BQ261" s="250">
        <v>1</v>
      </c>
      <c r="BS261" s="96" t="s">
        <v>77</v>
      </c>
      <c r="BT261" s="96" t="s">
        <v>90</v>
      </c>
    </row>
    <row r="262" spans="3:72" ht="15.75" thickBot="1" x14ac:dyDescent="0.3">
      <c r="D262" s="96" t="s">
        <v>1005</v>
      </c>
      <c r="K262" s="832"/>
      <c r="M262" s="832"/>
      <c r="AW262" s="252" t="s">
        <v>247</v>
      </c>
      <c r="AX262" s="253"/>
      <c r="AY262" s="253"/>
      <c r="AZ262" s="253"/>
      <c r="BA262" s="253"/>
      <c r="BB262" s="254"/>
      <c r="BC262" s="255" t="s">
        <v>248</v>
      </c>
      <c r="BD262" s="63" t="str">
        <f>IF(BE262=1,(BP_MinStandards&amp;"*"),BD260)</f>
        <v>Unclassified</v>
      </c>
      <c r="BE262" s="62">
        <f>IF(BE257&lt;BE260,1,0)</f>
        <v>0</v>
      </c>
      <c r="BG262" s="63" t="str">
        <f>IF(BH262=1,(BP_MinStandards_design&amp;"*"),BG260)</f>
        <v>Unclassified</v>
      </c>
      <c r="BH262" s="62">
        <f>IF(BH257&lt;BH260,1,0)</f>
        <v>0</v>
      </c>
      <c r="BJ262" s="63" t="str">
        <f>IF(BK262=1,(BP_MinStandards_const&amp;"*"),BJ260)</f>
        <v>Unclassified</v>
      </c>
      <c r="BK262" s="62">
        <f>IF(BK257&lt;BK260,1,0)</f>
        <v>0</v>
      </c>
      <c r="BN262" s="248" t="s">
        <v>244</v>
      </c>
      <c r="BO262" s="249">
        <v>0.45</v>
      </c>
      <c r="BP262" s="99" t="s">
        <v>78</v>
      </c>
      <c r="BQ262" s="250">
        <v>2</v>
      </c>
      <c r="BS262" s="96" t="s">
        <v>78</v>
      </c>
      <c r="BT262" s="96" t="s">
        <v>91</v>
      </c>
    </row>
    <row r="263" spans="3:72" x14ac:dyDescent="0.25">
      <c r="D263" s="96" t="s">
        <v>704</v>
      </c>
      <c r="K263" s="832" t="s">
        <v>581</v>
      </c>
      <c r="S263" s="96">
        <f>IF(OR(AH74&lt;&gt;AA74,Ene02_user&lt;&gt;Ene02_credits),0,1)</f>
        <v>0</v>
      </c>
      <c r="BN263" s="248" t="s">
        <v>244</v>
      </c>
      <c r="BO263" s="249">
        <v>0.55000000000000004</v>
      </c>
      <c r="BP263" s="99" t="s">
        <v>79</v>
      </c>
      <c r="BQ263" s="250">
        <v>3</v>
      </c>
      <c r="BS263" s="96" t="s">
        <v>79</v>
      </c>
      <c r="BT263" s="96" t="s">
        <v>92</v>
      </c>
    </row>
    <row r="264" spans="3:72" x14ac:dyDescent="0.25">
      <c r="D264" s="96" t="s">
        <v>714</v>
      </c>
      <c r="K264" s="832" t="s">
        <v>582</v>
      </c>
      <c r="AW264" s="96" t="s">
        <v>249</v>
      </c>
      <c r="BN264" s="248" t="s">
        <v>244</v>
      </c>
      <c r="BO264" s="249">
        <v>0.7</v>
      </c>
      <c r="BP264" s="99" t="s">
        <v>80</v>
      </c>
      <c r="BQ264" s="250">
        <v>4</v>
      </c>
      <c r="BS264" s="96" t="s">
        <v>80</v>
      </c>
      <c r="BT264" s="96" t="s">
        <v>238</v>
      </c>
    </row>
    <row r="265" spans="3:72" ht="15.75" thickBot="1" x14ac:dyDescent="0.3">
      <c r="D265" s="96" t="s">
        <v>705</v>
      </c>
      <c r="K265" s="832" t="s">
        <v>583</v>
      </c>
      <c r="BD265" s="260" t="str">
        <f>IF(BE262=1,AW264,"")</f>
        <v/>
      </c>
      <c r="BG265" s="260" t="str">
        <f>IF(BH262=1,AW264,"")</f>
        <v/>
      </c>
      <c r="BJ265" s="260" t="str">
        <f>IF(BK262=1,AW264,"")</f>
        <v/>
      </c>
      <c r="BN265" s="256" t="s">
        <v>244</v>
      </c>
      <c r="BO265" s="257">
        <v>0.85</v>
      </c>
      <c r="BP265" s="258" t="s">
        <v>81</v>
      </c>
      <c r="BQ265" s="259">
        <v>5</v>
      </c>
      <c r="BS265" s="96" t="s">
        <v>81</v>
      </c>
      <c r="BT265" s="96" t="s">
        <v>93</v>
      </c>
    </row>
    <row r="266" spans="3:72" x14ac:dyDescent="0.25">
      <c r="D266" s="96" t="s">
        <v>706</v>
      </c>
      <c r="K266" s="832"/>
    </row>
    <row r="267" spans="3:72" x14ac:dyDescent="0.25">
      <c r="D267" s="96" t="s">
        <v>707</v>
      </c>
      <c r="K267" s="832" t="s">
        <v>588</v>
      </c>
      <c r="AW267" s="96" t="str">
        <f>"* = "&amp;AW264</f>
        <v>* = The rating has been limited to the min. standards level achieved</v>
      </c>
    </row>
    <row r="268" spans="3:72" x14ac:dyDescent="0.25">
      <c r="D268" s="96" t="s">
        <v>708</v>
      </c>
      <c r="K268" s="832" t="s">
        <v>584</v>
      </c>
    </row>
    <row r="269" spans="3:72" x14ac:dyDescent="0.25">
      <c r="D269" s="96" t="s">
        <v>709</v>
      </c>
      <c r="K269" s="832"/>
    </row>
    <row r="270" spans="3:72" x14ac:dyDescent="0.25">
      <c r="D270" s="96" t="s">
        <v>710</v>
      </c>
      <c r="K270" s="832" t="s">
        <v>585</v>
      </c>
    </row>
    <row r="271" spans="3:72" x14ac:dyDescent="0.25">
      <c r="D271" s="96" t="s">
        <v>711</v>
      </c>
      <c r="K271" s="832" t="s">
        <v>586</v>
      </c>
    </row>
    <row r="272" spans="3:72" x14ac:dyDescent="0.25">
      <c r="D272" s="96" t="s">
        <v>712</v>
      </c>
      <c r="K272" s="832"/>
    </row>
    <row r="273" spans="3:72" x14ac:dyDescent="0.25">
      <c r="D273" s="96" t="s">
        <v>317</v>
      </c>
      <c r="K273" s="832"/>
    </row>
    <row r="274" spans="3:72" x14ac:dyDescent="0.25">
      <c r="K274" s="832" t="s">
        <v>587</v>
      </c>
    </row>
    <row r="275" spans="3:72" ht="45" x14ac:dyDescent="0.25">
      <c r="C275" s="96" t="s">
        <v>13</v>
      </c>
      <c r="D275" s="96" t="s">
        <v>315</v>
      </c>
      <c r="E275" s="774" t="s">
        <v>1015</v>
      </c>
    </row>
    <row r="276" spans="3:72" ht="45" x14ac:dyDescent="0.25">
      <c r="C276" s="96" t="s">
        <v>14</v>
      </c>
      <c r="D276" s="96" t="s">
        <v>315</v>
      </c>
      <c r="E276" s="774" t="s">
        <v>1016</v>
      </c>
    </row>
    <row r="282" spans="3:72" x14ac:dyDescent="0.25">
      <c r="BM282" s="96" t="s">
        <v>81</v>
      </c>
      <c r="BN282" s="96">
        <v>5</v>
      </c>
      <c r="BO282" s="96" t="s">
        <v>81</v>
      </c>
      <c r="BQ282" s="96" t="s">
        <v>832</v>
      </c>
      <c r="BS282" s="96" t="s">
        <v>81</v>
      </c>
      <c r="BT282" s="96" t="s">
        <v>93</v>
      </c>
    </row>
    <row r="283" spans="3:72" x14ac:dyDescent="0.25">
      <c r="BM283" s="96" t="s">
        <v>80</v>
      </c>
      <c r="BN283" s="96">
        <v>4</v>
      </c>
      <c r="BO283" s="96" t="s">
        <v>80</v>
      </c>
      <c r="BQ283" s="96" t="s">
        <v>833</v>
      </c>
      <c r="BS283" s="96" t="s">
        <v>80</v>
      </c>
      <c r="BT283" s="96" t="s">
        <v>238</v>
      </c>
    </row>
    <row r="284" spans="3:72" x14ac:dyDescent="0.25">
      <c r="BM284" s="96" t="s">
        <v>79</v>
      </c>
      <c r="BN284" s="96">
        <v>3</v>
      </c>
      <c r="BO284" s="96" t="s">
        <v>79</v>
      </c>
      <c r="BQ284" s="96" t="s">
        <v>834</v>
      </c>
      <c r="BS284" s="96" t="s">
        <v>79</v>
      </c>
      <c r="BT284" s="96" t="s">
        <v>92</v>
      </c>
    </row>
    <row r="285" spans="3:72" x14ac:dyDescent="0.25">
      <c r="BM285" s="96" t="s">
        <v>78</v>
      </c>
      <c r="BN285" s="96">
        <v>2</v>
      </c>
      <c r="BO285" s="96" t="s">
        <v>78</v>
      </c>
      <c r="BQ285" s="96" t="s">
        <v>78</v>
      </c>
      <c r="BS285" s="96" t="s">
        <v>78</v>
      </c>
      <c r="BT285" s="96" t="s">
        <v>91</v>
      </c>
    </row>
    <row r="286" spans="3:72" x14ac:dyDescent="0.25">
      <c r="BM286" s="96" t="s">
        <v>77</v>
      </c>
      <c r="BN286" s="96">
        <v>1</v>
      </c>
      <c r="BO286" s="96" t="s">
        <v>77</v>
      </c>
      <c r="BQ286" s="96" t="s">
        <v>77</v>
      </c>
      <c r="BS286" s="96" t="s">
        <v>77</v>
      </c>
      <c r="BT286" s="96" t="s">
        <v>90</v>
      </c>
    </row>
    <row r="287" spans="3:72" x14ac:dyDescent="0.25">
      <c r="BM287" s="96" t="s">
        <v>75</v>
      </c>
      <c r="BN287" s="96">
        <v>0</v>
      </c>
      <c r="BO287" s="96" t="s">
        <v>75</v>
      </c>
      <c r="BQ287" s="96" t="s">
        <v>75</v>
      </c>
      <c r="BS287" s="96" t="s">
        <v>75</v>
      </c>
      <c r="BT287" s="96" t="s">
        <v>831</v>
      </c>
    </row>
    <row r="288" spans="3:72" x14ac:dyDescent="0.25">
      <c r="BM288" s="96" t="s">
        <v>15</v>
      </c>
      <c r="BN288" s="96">
        <v>9</v>
      </c>
      <c r="BO288" s="96" t="s">
        <v>15</v>
      </c>
      <c r="BQ288" s="96" t="s">
        <v>15</v>
      </c>
      <c r="BS288" s="96" t="s">
        <v>15</v>
      </c>
      <c r="BT288" s="96" t="s">
        <v>15</v>
      </c>
    </row>
    <row r="289" spans="3:72" ht="15.75" thickBot="1" x14ac:dyDescent="0.3">
      <c r="D289" s="675">
        <v>1</v>
      </c>
      <c r="E289" s="793">
        <v>2</v>
      </c>
      <c r="F289" s="793">
        <v>3</v>
      </c>
      <c r="G289" s="793">
        <v>4</v>
      </c>
    </row>
    <row r="290" spans="3:72" ht="15.75" thickBot="1" x14ac:dyDescent="0.3">
      <c r="C290" s="145"/>
      <c r="D290" s="666" t="s">
        <v>414</v>
      </c>
      <c r="E290" s="794" t="s">
        <v>420</v>
      </c>
      <c r="F290" s="794" t="s">
        <v>422</v>
      </c>
      <c r="G290" s="795" t="s">
        <v>423</v>
      </c>
    </row>
    <row r="291" spans="3:72" ht="15.75" thickBot="1" x14ac:dyDescent="0.3">
      <c r="C291" s="163" t="s">
        <v>415</v>
      </c>
      <c r="D291" s="663" t="str">
        <f>'Pre-Assessment Estimator'!AK38</f>
        <v>O1: Glare ctrl/artificial light</v>
      </c>
      <c r="E291" s="796">
        <v>0</v>
      </c>
      <c r="F291" s="796" t="s">
        <v>421</v>
      </c>
      <c r="G291" s="797"/>
    </row>
    <row r="292" spans="3:72" ht="15.75" thickBot="1" x14ac:dyDescent="0.3">
      <c r="C292" s="166" t="s">
        <v>415</v>
      </c>
      <c r="D292" s="70" t="str">
        <f>'Pre-Assessment Estimator'!AL38</f>
        <v>O2: Glare control (-0,5 c)</v>
      </c>
      <c r="E292" s="798">
        <v>-0.5</v>
      </c>
      <c r="F292" s="798" t="s">
        <v>421</v>
      </c>
      <c r="G292" s="799"/>
      <c r="BH292" s="152" t="s">
        <v>283</v>
      </c>
      <c r="BI292" s="152" t="s">
        <v>284</v>
      </c>
      <c r="BJ292" s="153" t="s">
        <v>1</v>
      </c>
      <c r="BO292" s="151" t="s">
        <v>285</v>
      </c>
      <c r="BP292" s="152" t="s">
        <v>88</v>
      </c>
      <c r="BQ292" s="152" t="s">
        <v>283</v>
      </c>
      <c r="BR292" s="152" t="s">
        <v>284</v>
      </c>
      <c r="BS292" s="153" t="s">
        <v>1</v>
      </c>
    </row>
    <row r="293" spans="3:72" x14ac:dyDescent="0.25">
      <c r="C293" s="166" t="s">
        <v>415</v>
      </c>
      <c r="D293" s="70" t="str">
        <f>'Pre-Assessment Estimator'!AM38</f>
        <v>O2: Artificial lighting (-0,5 c)</v>
      </c>
      <c r="E293" s="798">
        <v>-0.5</v>
      </c>
      <c r="F293" s="798" t="s">
        <v>421</v>
      </c>
      <c r="G293" s="799"/>
      <c r="BG293" s="1201" t="s">
        <v>715</v>
      </c>
      <c r="BH293" s="99">
        <f t="shared" ref="BH293:BH325" si="655">VLOOKUP($BG293,$B$10:$BJ$251,BC$1,FALSE)</f>
        <v>3</v>
      </c>
      <c r="BI293" s="99">
        <f t="shared" ref="BI293:BI325" si="656">VLOOKUP($BG293,$B$10:$BJ$251,BF$1,FALSE)</f>
        <v>3</v>
      </c>
      <c r="BJ293" s="99">
        <f t="shared" ref="BJ293:BJ325" si="657">VLOOKUP($BG293,$B$10:$BJ$251,BI$1,FALSE)</f>
        <v>3</v>
      </c>
      <c r="BO293" s="313" t="s">
        <v>548</v>
      </c>
      <c r="BP293" s="177" t="s">
        <v>94</v>
      </c>
      <c r="BQ293" s="177">
        <f>MIN(BH293:BH294)</f>
        <v>3</v>
      </c>
      <c r="BR293" s="177">
        <f t="shared" ref="BR293:BS293" si="658">MIN(BI293:BI294)</f>
        <v>3</v>
      </c>
      <c r="BS293" s="177">
        <f t="shared" si="658"/>
        <v>3</v>
      </c>
    </row>
    <row r="294" spans="3:72" ht="15.75" thickBot="1" x14ac:dyDescent="0.3">
      <c r="C294" s="166" t="s">
        <v>415</v>
      </c>
      <c r="D294" s="664" t="str">
        <f>'Pre-Assessment Estimator'!AN38</f>
        <v>O2: Glare ctrl &amp; artif light (-1,0 c)</v>
      </c>
      <c r="E294" s="798">
        <v>-1</v>
      </c>
      <c r="F294" s="798" t="s">
        <v>421</v>
      </c>
      <c r="G294" s="799"/>
      <c r="BG294" s="1202" t="s">
        <v>716</v>
      </c>
      <c r="BH294" s="258">
        <f t="shared" si="655"/>
        <v>3</v>
      </c>
      <c r="BI294" s="258">
        <f t="shared" si="656"/>
        <v>3</v>
      </c>
      <c r="BJ294" s="258">
        <f t="shared" si="657"/>
        <v>3</v>
      </c>
      <c r="BO294" s="166" t="s">
        <v>550</v>
      </c>
      <c r="BP294" s="167" t="s">
        <v>96</v>
      </c>
      <c r="BQ294" s="167">
        <f>MIN(BH295:BH297)</f>
        <v>0</v>
      </c>
      <c r="BR294" s="167">
        <f t="shared" ref="BR294:BS294" si="659">MIN(BI295:BI297)</f>
        <v>0</v>
      </c>
      <c r="BS294" s="167">
        <f t="shared" si="659"/>
        <v>0</v>
      </c>
    </row>
    <row r="295" spans="3:72" x14ac:dyDescent="0.25">
      <c r="C295" s="166" t="s">
        <v>415</v>
      </c>
      <c r="D295" s="663" t="str">
        <f>'Pre-Assessment Estimator'!AO38</f>
        <v>O3: Glare ctrl/artif lighting</v>
      </c>
      <c r="E295" s="798">
        <v>0</v>
      </c>
      <c r="F295" s="798" t="s">
        <v>421</v>
      </c>
      <c r="G295" s="799"/>
      <c r="BG295" s="689" t="s">
        <v>724</v>
      </c>
      <c r="BH295" s="96">
        <f t="shared" si="655"/>
        <v>0</v>
      </c>
      <c r="BI295" s="96">
        <f t="shared" si="656"/>
        <v>0</v>
      </c>
      <c r="BJ295" s="96">
        <f t="shared" si="657"/>
        <v>0</v>
      </c>
      <c r="BO295" s="166" t="s">
        <v>97</v>
      </c>
      <c r="BP295" s="167" t="s">
        <v>97</v>
      </c>
      <c r="BQ295" s="167">
        <f>MIN(BH298:BH299)</f>
        <v>0</v>
      </c>
      <c r="BR295" s="167">
        <f t="shared" ref="BR295:BS295" si="660">MIN(BI298:BI299)</f>
        <v>0</v>
      </c>
      <c r="BS295" s="167">
        <f t="shared" si="660"/>
        <v>0</v>
      </c>
    </row>
    <row r="296" spans="3:72" ht="15.75" thickBot="1" x14ac:dyDescent="0.3">
      <c r="C296" s="229" t="s">
        <v>415</v>
      </c>
      <c r="D296" s="664" t="str">
        <f>'Pre-Assessment Estimator'!AP38</f>
        <v>Glare ctrl/artif lighting N/A</v>
      </c>
      <c r="E296" s="800">
        <v>0</v>
      </c>
      <c r="F296" s="800" t="s">
        <v>421</v>
      </c>
      <c r="G296" s="801">
        <v>2</v>
      </c>
      <c r="BG296" s="689" t="s">
        <v>725</v>
      </c>
      <c r="BH296" s="96">
        <f t="shared" si="655"/>
        <v>2</v>
      </c>
      <c r="BI296" s="96">
        <f t="shared" si="656"/>
        <v>2</v>
      </c>
      <c r="BJ296" s="96">
        <f t="shared" si="657"/>
        <v>2</v>
      </c>
      <c r="BO296" s="166" t="s">
        <v>560</v>
      </c>
      <c r="BP296" s="167" t="str">
        <f>IF(D6=G9,"","Man 05")</f>
        <v>Man 05</v>
      </c>
      <c r="BQ296" s="167">
        <f>MIN(BH300)</f>
        <v>3</v>
      </c>
      <c r="BR296" s="167">
        <f t="shared" ref="BR296:BS296" si="661">MIN(BI300)</f>
        <v>3</v>
      </c>
      <c r="BS296" s="167">
        <f t="shared" si="661"/>
        <v>3</v>
      </c>
      <c r="BT296" s="223" t="s">
        <v>574</v>
      </c>
    </row>
    <row r="297" spans="3:72" ht="15.75" thickBot="1" x14ac:dyDescent="0.3">
      <c r="C297" s="163" t="s">
        <v>416</v>
      </c>
      <c r="D297" s="663" t="str">
        <f>'Pre-Assessment Estimator'!AK45</f>
        <v>O1: VOC</v>
      </c>
      <c r="E297" s="796">
        <v>0</v>
      </c>
      <c r="F297" s="796" t="s">
        <v>421</v>
      </c>
      <c r="G297" s="797"/>
      <c r="BG297" s="1202" t="s">
        <v>915</v>
      </c>
      <c r="BH297" s="258">
        <f t="shared" si="655"/>
        <v>3</v>
      </c>
      <c r="BI297" s="258">
        <f t="shared" si="656"/>
        <v>3</v>
      </c>
      <c r="BJ297" s="258">
        <f t="shared" si="657"/>
        <v>3</v>
      </c>
      <c r="BO297" s="166" t="s">
        <v>866</v>
      </c>
      <c r="BP297" s="96" t="s">
        <v>119</v>
      </c>
      <c r="BQ297" s="167">
        <f>MIN(BH301:BH302)</f>
        <v>0</v>
      </c>
      <c r="BR297" s="167">
        <f t="shared" ref="BR297:BS297" si="662">MIN(BI301:BI302)</f>
        <v>0</v>
      </c>
      <c r="BS297" s="167">
        <f t="shared" si="662"/>
        <v>0</v>
      </c>
    </row>
    <row r="298" spans="3:72" x14ac:dyDescent="0.25">
      <c r="C298" s="166" t="s">
        <v>416</v>
      </c>
      <c r="D298" s="70" t="str">
        <f>'Pre-Assessment Estimator'!AL45</f>
        <v>O2: VOC (AC 6-7: -0,5 c)</v>
      </c>
      <c r="E298" s="798">
        <v>-0.5</v>
      </c>
      <c r="F298" s="798" t="s">
        <v>421</v>
      </c>
      <c r="G298" s="799"/>
      <c r="BG298" s="689" t="s">
        <v>726</v>
      </c>
      <c r="BH298" s="96">
        <f t="shared" si="655"/>
        <v>0</v>
      </c>
      <c r="BI298" s="96">
        <f t="shared" si="656"/>
        <v>0</v>
      </c>
      <c r="BJ298" s="96">
        <f t="shared" si="657"/>
        <v>0</v>
      </c>
      <c r="BO298" s="166" t="s">
        <v>544</v>
      </c>
      <c r="BP298" s="167" t="s">
        <v>120</v>
      </c>
      <c r="BQ298" s="167">
        <f>MIN(BH303)</f>
        <v>3</v>
      </c>
      <c r="BR298" s="167">
        <f t="shared" ref="BR298:BS298" si="663">MIN(BI303)</f>
        <v>3</v>
      </c>
      <c r="BS298" s="167">
        <f t="shared" si="663"/>
        <v>3</v>
      </c>
    </row>
    <row r="299" spans="3:72" ht="15.75" thickBot="1" x14ac:dyDescent="0.3">
      <c r="C299" s="166" t="s">
        <v>416</v>
      </c>
      <c r="D299" s="70" t="str">
        <f>'Pre-Assessment Estimator'!AM45</f>
        <v>O2: VOC (AC 8-9: -1,0 c)</v>
      </c>
      <c r="E299" s="798">
        <v>-1</v>
      </c>
      <c r="F299" s="798" t="s">
        <v>421</v>
      </c>
      <c r="G299" s="799"/>
      <c r="BG299" s="1202" t="s">
        <v>728</v>
      </c>
      <c r="BH299" s="258">
        <f t="shared" si="655"/>
        <v>2</v>
      </c>
      <c r="BI299" s="258">
        <f t="shared" si="656"/>
        <v>2</v>
      </c>
      <c r="BJ299" s="258">
        <f t="shared" si="657"/>
        <v>2</v>
      </c>
      <c r="BO299" s="166" t="s">
        <v>575</v>
      </c>
      <c r="BP299" s="167" t="s">
        <v>137</v>
      </c>
      <c r="BQ299" s="167">
        <f>MIN(BH304)</f>
        <v>3</v>
      </c>
      <c r="BR299" s="167">
        <f t="shared" ref="BR299:BS299" si="664">MIN(BI304)</f>
        <v>3</v>
      </c>
      <c r="BS299" s="167">
        <f t="shared" si="664"/>
        <v>3</v>
      </c>
      <c r="BT299" s="223"/>
    </row>
    <row r="300" spans="3:72" ht="15.75" thickBot="1" x14ac:dyDescent="0.3">
      <c r="C300" s="166" t="s">
        <v>416</v>
      </c>
      <c r="D300" s="70" t="str">
        <f>'Pre-Assessment Estimator'!AN45</f>
        <v>O3: VOC</v>
      </c>
      <c r="E300" s="798">
        <v>0</v>
      </c>
      <c r="F300" s="798" t="s">
        <v>421</v>
      </c>
      <c r="G300" s="799"/>
      <c r="BG300" s="1203" t="s">
        <v>730</v>
      </c>
      <c r="BH300" s="1080">
        <f t="shared" si="655"/>
        <v>3</v>
      </c>
      <c r="BI300" s="1080">
        <f t="shared" si="656"/>
        <v>3</v>
      </c>
      <c r="BJ300" s="1080">
        <f t="shared" si="657"/>
        <v>3</v>
      </c>
      <c r="BO300" s="188" t="s">
        <v>951</v>
      </c>
      <c r="BP300" s="167" t="s">
        <v>143</v>
      </c>
      <c r="BQ300" s="167">
        <f>MIN(BH305)</f>
        <v>0</v>
      </c>
      <c r="BR300" s="167">
        <f t="shared" ref="BR300:BS300" si="665">MIN(BI305)</f>
        <v>0</v>
      </c>
      <c r="BS300" s="167">
        <f t="shared" si="665"/>
        <v>0</v>
      </c>
    </row>
    <row r="301" spans="3:72" ht="15.75" thickBot="1" x14ac:dyDescent="0.3">
      <c r="C301" s="192" t="s">
        <v>416</v>
      </c>
      <c r="D301" s="668" t="str">
        <f>'Pre-Assessment Estimator'!AO45</f>
        <v>VOC N/A</v>
      </c>
      <c r="E301" s="802">
        <v>0</v>
      </c>
      <c r="F301" s="802" t="s">
        <v>421</v>
      </c>
      <c r="G301" s="803">
        <v>5</v>
      </c>
      <c r="BG301" s="689" t="s">
        <v>732</v>
      </c>
      <c r="BH301" s="96">
        <f t="shared" si="655"/>
        <v>0</v>
      </c>
      <c r="BI301" s="96">
        <f t="shared" si="656"/>
        <v>0</v>
      </c>
      <c r="BJ301" s="96">
        <f t="shared" si="657"/>
        <v>0</v>
      </c>
      <c r="BO301" s="188" t="s">
        <v>552</v>
      </c>
      <c r="BP301" s="167" t="s">
        <v>149</v>
      </c>
      <c r="BQ301" s="167">
        <f>MIN(BH306)</f>
        <v>3</v>
      </c>
      <c r="BR301" s="167">
        <f t="shared" ref="BR301:BS301" si="666">MIN(BI306)</f>
        <v>3</v>
      </c>
      <c r="BS301" s="167">
        <f t="shared" si="666"/>
        <v>3</v>
      </c>
      <c r="BT301" s="223"/>
    </row>
    <row r="302" spans="3:72" ht="15.75" thickBot="1" x14ac:dyDescent="0.3">
      <c r="C302" s="313" t="s">
        <v>417</v>
      </c>
      <c r="D302" s="667" t="str">
        <f>'Pre-Assessment Estimator'!AK72</f>
        <v>O1: Sub-metering</v>
      </c>
      <c r="E302" s="804">
        <v>0</v>
      </c>
      <c r="F302" s="804" t="s">
        <v>421</v>
      </c>
      <c r="G302" s="805"/>
      <c r="BG302" s="689" t="s">
        <v>737</v>
      </c>
      <c r="BH302" s="258">
        <f t="shared" si="655"/>
        <v>0</v>
      </c>
      <c r="BI302" s="258">
        <f t="shared" si="656"/>
        <v>0</v>
      </c>
      <c r="BJ302" s="258">
        <f t="shared" si="657"/>
        <v>0</v>
      </c>
      <c r="BO302" s="166" t="s">
        <v>171</v>
      </c>
      <c r="BP302" s="167" t="s">
        <v>171</v>
      </c>
      <c r="BQ302" s="167">
        <f>MIN(BH307)</f>
        <v>3</v>
      </c>
      <c r="BR302" s="167">
        <f t="shared" ref="BR302:BS302" si="667">MIN(BI307)</f>
        <v>3</v>
      </c>
      <c r="BS302" s="167">
        <f t="shared" si="667"/>
        <v>3</v>
      </c>
      <c r="BT302" s="223"/>
    </row>
    <row r="303" spans="3:72" ht="15.75" thickBot="1" x14ac:dyDescent="0.3">
      <c r="C303" s="166" t="s">
        <v>417</v>
      </c>
      <c r="D303" s="70" t="str">
        <f>'Pre-Assessment Estimator'!AL72</f>
        <v>O2: Sub-met. (AC 1-3: -0,5 c)</v>
      </c>
      <c r="E303" s="798">
        <v>-0.5</v>
      </c>
      <c r="F303" s="798" t="s">
        <v>421</v>
      </c>
      <c r="G303" s="799"/>
      <c r="BG303" s="1203" t="s">
        <v>739</v>
      </c>
      <c r="BH303" s="1080">
        <f t="shared" si="655"/>
        <v>3</v>
      </c>
      <c r="BI303" s="1080">
        <f t="shared" si="656"/>
        <v>3</v>
      </c>
      <c r="BJ303" s="1080">
        <f t="shared" si="657"/>
        <v>3</v>
      </c>
      <c r="BO303" s="166" t="s">
        <v>4</v>
      </c>
      <c r="BP303" s="167" t="s">
        <v>175</v>
      </c>
      <c r="BQ303" s="167">
        <f>MIN(BH308:BH309)</f>
        <v>0</v>
      </c>
      <c r="BR303" s="167">
        <f t="shared" ref="BR303:BS303" si="668">MIN(BI308:BI309)</f>
        <v>0</v>
      </c>
      <c r="BS303" s="167">
        <f t="shared" si="668"/>
        <v>0</v>
      </c>
    </row>
    <row r="304" spans="3:72" ht="15.75" thickBot="1" x14ac:dyDescent="0.3">
      <c r="C304" s="166" t="s">
        <v>417</v>
      </c>
      <c r="D304" s="70" t="str">
        <f>'Pre-Assessment Estimator'!AM72</f>
        <v>O2: Sub-met. (AC 4-7: -1,0 c)</v>
      </c>
      <c r="E304" s="798">
        <v>-1</v>
      </c>
      <c r="F304" s="798" t="s">
        <v>421</v>
      </c>
      <c r="G304" s="799"/>
      <c r="BG304" s="1203" t="s">
        <v>752</v>
      </c>
      <c r="BH304" s="1080">
        <f t="shared" si="655"/>
        <v>3</v>
      </c>
      <c r="BI304" s="1080">
        <f t="shared" si="656"/>
        <v>3</v>
      </c>
      <c r="BJ304" s="1080">
        <f t="shared" si="657"/>
        <v>3</v>
      </c>
      <c r="BO304" s="166" t="s">
        <v>955</v>
      </c>
      <c r="BP304" s="167" t="s">
        <v>480</v>
      </c>
      <c r="BQ304" s="167">
        <f>MIN(BH310)</f>
        <v>0</v>
      </c>
      <c r="BR304" s="167">
        <f t="shared" ref="BR304:BS304" si="669">MIN(BI310)</f>
        <v>0</v>
      </c>
      <c r="BS304" s="167">
        <f t="shared" si="669"/>
        <v>0</v>
      </c>
    </row>
    <row r="305" spans="3:71" ht="15.75" thickBot="1" x14ac:dyDescent="0.3">
      <c r="C305" s="166" t="s">
        <v>417</v>
      </c>
      <c r="D305" s="70" t="str">
        <f>'Pre-Assessment Estimator'!AN72</f>
        <v>O3: Sub-metering</v>
      </c>
      <c r="E305" s="798">
        <v>0</v>
      </c>
      <c r="F305" s="798" t="s">
        <v>421</v>
      </c>
      <c r="G305" s="799"/>
      <c r="BG305" s="1203" t="s">
        <v>761</v>
      </c>
      <c r="BH305" s="1080">
        <f t="shared" si="655"/>
        <v>0</v>
      </c>
      <c r="BI305" s="1080">
        <f t="shared" si="656"/>
        <v>0</v>
      </c>
      <c r="BJ305" s="1080">
        <f t="shared" si="657"/>
        <v>0</v>
      </c>
      <c r="BO305" s="166" t="s">
        <v>956</v>
      </c>
      <c r="BP305" s="167" t="s">
        <v>176</v>
      </c>
      <c r="BQ305" s="167">
        <f>MIN(BH311)</f>
        <v>0</v>
      </c>
      <c r="BR305" s="167">
        <f t="shared" ref="BR305:BS305" si="670">MIN(BI311)</f>
        <v>0</v>
      </c>
      <c r="BS305" s="167">
        <f t="shared" si="670"/>
        <v>0</v>
      </c>
    </row>
    <row r="306" spans="3:71" ht="15.75" thickBot="1" x14ac:dyDescent="0.3">
      <c r="C306" s="192" t="s">
        <v>417</v>
      </c>
      <c r="D306" s="668" t="str">
        <f>'Pre-Assessment Estimator'!AO72</f>
        <v>Sub-metering N/A</v>
      </c>
      <c r="E306" s="802">
        <v>0</v>
      </c>
      <c r="F306" s="802" t="s">
        <v>421</v>
      </c>
      <c r="G306" s="803">
        <v>1</v>
      </c>
      <c r="BG306" s="1203" t="s">
        <v>765</v>
      </c>
      <c r="BH306" s="1080">
        <f t="shared" si="655"/>
        <v>3</v>
      </c>
      <c r="BI306" s="1080">
        <f t="shared" si="656"/>
        <v>3</v>
      </c>
      <c r="BJ306" s="1080">
        <f t="shared" si="657"/>
        <v>3</v>
      </c>
      <c r="BO306" s="166" t="s">
        <v>952</v>
      </c>
      <c r="BP306" s="167" t="s">
        <v>177</v>
      </c>
      <c r="BQ306" s="167">
        <f>MIN(BH312)</f>
        <v>3</v>
      </c>
      <c r="BR306" s="167">
        <f t="shared" ref="BR306:BS306" si="671">MIN(BI312)</f>
        <v>3</v>
      </c>
      <c r="BS306" s="167">
        <f t="shared" si="671"/>
        <v>3</v>
      </c>
    </row>
    <row r="307" spans="3:71" ht="15.75" thickBot="1" x14ac:dyDescent="0.3">
      <c r="C307" s="313" t="s">
        <v>418</v>
      </c>
      <c r="D307" s="667" t="str">
        <f>'Pre-Assessment Estimator'!AK108</f>
        <v>O1: Flow control</v>
      </c>
      <c r="E307" s="804">
        <v>0</v>
      </c>
      <c r="F307" s="804" t="s">
        <v>421</v>
      </c>
      <c r="G307" s="805"/>
      <c r="BG307" s="1203" t="s">
        <v>768</v>
      </c>
      <c r="BH307" s="1080">
        <f t="shared" si="655"/>
        <v>3</v>
      </c>
      <c r="BI307" s="1080">
        <f t="shared" si="656"/>
        <v>3</v>
      </c>
      <c r="BJ307" s="1080">
        <f t="shared" si="657"/>
        <v>3</v>
      </c>
      <c r="BO307" s="166" t="s">
        <v>553</v>
      </c>
      <c r="BP307" s="167" t="s">
        <v>178</v>
      </c>
      <c r="BQ307" s="167">
        <f>MIN(BH313)</f>
        <v>0</v>
      </c>
      <c r="BR307" s="167">
        <f t="shared" ref="BR307:BS307" si="672">MIN(BI313)</f>
        <v>0</v>
      </c>
      <c r="BS307" s="167">
        <f t="shared" si="672"/>
        <v>0</v>
      </c>
    </row>
    <row r="308" spans="3:71" x14ac:dyDescent="0.25">
      <c r="C308" s="166" t="s">
        <v>418</v>
      </c>
      <c r="D308" s="70" t="str">
        <f>'Pre-Assessment Estimator'!AL108</f>
        <v>O2: Flow control (-0,5 c)</v>
      </c>
      <c r="E308" s="798">
        <v>-0.5</v>
      </c>
      <c r="F308" s="798" t="s">
        <v>421</v>
      </c>
      <c r="G308" s="799"/>
      <c r="BG308" s="1205" t="s">
        <v>774</v>
      </c>
      <c r="BH308" s="246">
        <f t="shared" si="655"/>
        <v>0</v>
      </c>
      <c r="BI308" s="246">
        <f t="shared" si="656"/>
        <v>0</v>
      </c>
      <c r="BJ308" s="246">
        <f t="shared" si="657"/>
        <v>0</v>
      </c>
      <c r="BO308" s="166" t="s">
        <v>554</v>
      </c>
      <c r="BP308" s="167" t="s">
        <v>481</v>
      </c>
      <c r="BQ308" s="167">
        <f>MIN(BH314:BH315)</f>
        <v>3</v>
      </c>
      <c r="BR308" s="167">
        <f t="shared" ref="BR308:BS308" si="673">MIN(BI314:BI315)</f>
        <v>3</v>
      </c>
      <c r="BS308" s="167">
        <f t="shared" si="673"/>
        <v>3</v>
      </c>
    </row>
    <row r="309" spans="3:71" ht="15.75" thickBot="1" x14ac:dyDescent="0.3">
      <c r="C309" s="166" t="s">
        <v>418</v>
      </c>
      <c r="D309" s="70" t="str">
        <f>'Pre-Assessment Estimator'!AM108</f>
        <v xml:space="preserve">O3: Flow control </v>
      </c>
      <c r="E309" s="798">
        <v>0</v>
      </c>
      <c r="F309" s="798" t="s">
        <v>421</v>
      </c>
      <c r="G309" s="799"/>
      <c r="BG309" s="1204" t="s">
        <v>775</v>
      </c>
      <c r="BH309" s="258">
        <f t="shared" si="655"/>
        <v>2</v>
      </c>
      <c r="BI309" s="258">
        <f t="shared" si="656"/>
        <v>2</v>
      </c>
      <c r="BJ309" s="258">
        <f t="shared" si="657"/>
        <v>2</v>
      </c>
      <c r="BO309" s="166" t="s">
        <v>555</v>
      </c>
      <c r="BP309" s="167" t="s">
        <v>179</v>
      </c>
      <c r="BQ309" s="167">
        <f>MIN(BH316:BH319)</f>
        <v>0</v>
      </c>
      <c r="BR309" s="167">
        <f t="shared" ref="BR309:BS309" si="674">MIN(BI316:BI319)</f>
        <v>0</v>
      </c>
      <c r="BS309" s="167">
        <f t="shared" si="674"/>
        <v>0</v>
      </c>
    </row>
    <row r="310" spans="3:71" ht="15.75" thickBot="1" x14ac:dyDescent="0.3">
      <c r="C310" s="229" t="s">
        <v>418</v>
      </c>
      <c r="D310" s="664" t="str">
        <f>'Pre-Assessment Estimator'!AN108</f>
        <v>Flow control N/A</v>
      </c>
      <c r="E310" s="800">
        <v>0</v>
      </c>
      <c r="F310" s="800" t="s">
        <v>421</v>
      </c>
      <c r="G310" s="801">
        <v>1</v>
      </c>
      <c r="BG310" s="1203" t="s">
        <v>777</v>
      </c>
      <c r="BH310" s="246">
        <f t="shared" si="655"/>
        <v>0</v>
      </c>
      <c r="BI310" s="246">
        <f t="shared" si="656"/>
        <v>0</v>
      </c>
      <c r="BJ310" s="246">
        <f t="shared" si="657"/>
        <v>0</v>
      </c>
      <c r="BO310" s="166" t="s">
        <v>953</v>
      </c>
      <c r="BP310" s="167" t="s">
        <v>954</v>
      </c>
      <c r="BQ310" s="167">
        <f>MIN(BH320:BH321)</f>
        <v>3</v>
      </c>
      <c r="BR310" s="167">
        <f t="shared" ref="BR310:BS310" si="675">MIN(BI320:BI321)</f>
        <v>3</v>
      </c>
      <c r="BS310" s="167">
        <f t="shared" si="675"/>
        <v>3</v>
      </c>
    </row>
    <row r="311" spans="3:71" ht="15.75" thickBot="1" x14ac:dyDescent="0.3">
      <c r="C311" s="672" t="s">
        <v>187</v>
      </c>
      <c r="D311" s="673" t="s">
        <v>413</v>
      </c>
      <c r="E311" s="806">
        <v>1</v>
      </c>
      <c r="F311" s="806" t="s">
        <v>424</v>
      </c>
      <c r="G311" s="807"/>
      <c r="BG311" s="1203" t="s">
        <v>780</v>
      </c>
      <c r="BH311" s="1080">
        <f t="shared" si="655"/>
        <v>0</v>
      </c>
      <c r="BI311" s="1080">
        <f t="shared" si="656"/>
        <v>0</v>
      </c>
      <c r="BJ311" s="1080">
        <f t="shared" si="657"/>
        <v>0</v>
      </c>
      <c r="BO311" s="166" t="s">
        <v>182</v>
      </c>
      <c r="BP311" s="167" t="s">
        <v>182</v>
      </c>
      <c r="BQ311" s="167">
        <f>MIN(BH322)</f>
        <v>3</v>
      </c>
      <c r="BR311" s="167">
        <f t="shared" ref="BR311:BS311" si="676">MIN(BI322)</f>
        <v>3</v>
      </c>
      <c r="BS311" s="167">
        <f t="shared" si="676"/>
        <v>3</v>
      </c>
    </row>
    <row r="312" spans="3:71" ht="15.75" thickBot="1" x14ac:dyDescent="0.3">
      <c r="C312" s="313"/>
      <c r="D312" s="671" t="s">
        <v>419</v>
      </c>
      <c r="E312" s="804"/>
      <c r="F312" s="804"/>
      <c r="G312" s="805"/>
      <c r="BG312" s="1202" t="s">
        <v>786</v>
      </c>
      <c r="BH312" s="258">
        <f t="shared" si="655"/>
        <v>3</v>
      </c>
      <c r="BI312" s="258">
        <f t="shared" si="656"/>
        <v>3</v>
      </c>
      <c r="BJ312" s="258">
        <f t="shared" si="657"/>
        <v>3</v>
      </c>
      <c r="BO312" s="166" t="s">
        <v>183</v>
      </c>
      <c r="BP312" s="167" t="s">
        <v>183</v>
      </c>
      <c r="BQ312" s="167">
        <f>MIN(BH323)</f>
        <v>2</v>
      </c>
      <c r="BR312" s="167">
        <f t="shared" ref="BR312:BS312" si="677">MIN(BI323)</f>
        <v>2</v>
      </c>
      <c r="BS312" s="167">
        <f t="shared" si="677"/>
        <v>2</v>
      </c>
    </row>
    <row r="313" spans="3:71" ht="15.75" thickBot="1" x14ac:dyDescent="0.3">
      <c r="C313" s="166"/>
      <c r="D313" s="665" t="s">
        <v>419</v>
      </c>
      <c r="E313" s="798"/>
      <c r="F313" s="798"/>
      <c r="G313" s="799"/>
      <c r="BG313" s="1202" t="s">
        <v>787</v>
      </c>
      <c r="BH313" s="258">
        <f t="shared" si="655"/>
        <v>0</v>
      </c>
      <c r="BI313" s="258">
        <f t="shared" si="656"/>
        <v>0</v>
      </c>
      <c r="BJ313" s="258">
        <f t="shared" si="657"/>
        <v>0</v>
      </c>
      <c r="BO313" s="166" t="s">
        <v>184</v>
      </c>
      <c r="BP313" s="167" t="s">
        <v>184</v>
      </c>
      <c r="BQ313" s="167">
        <f>MIN(BH324)</f>
        <v>4</v>
      </c>
      <c r="BR313" s="167">
        <f t="shared" ref="BR313:BS313" si="678">MIN(BI324)</f>
        <v>4</v>
      </c>
      <c r="BS313" s="167">
        <f t="shared" si="678"/>
        <v>4</v>
      </c>
    </row>
    <row r="314" spans="3:71" x14ac:dyDescent="0.25">
      <c r="C314" s="166"/>
      <c r="D314" s="665" t="s">
        <v>419</v>
      </c>
      <c r="E314" s="798"/>
      <c r="F314" s="798"/>
      <c r="G314" s="799"/>
      <c r="BG314" s="689" t="s">
        <v>791</v>
      </c>
      <c r="BH314" s="96">
        <f t="shared" si="655"/>
        <v>3</v>
      </c>
      <c r="BI314" s="96">
        <f t="shared" si="656"/>
        <v>3</v>
      </c>
      <c r="BJ314" s="96">
        <f t="shared" si="657"/>
        <v>3</v>
      </c>
      <c r="BO314" s="166" t="s">
        <v>186</v>
      </c>
      <c r="BP314" s="167" t="s">
        <v>186</v>
      </c>
      <c r="BQ314" s="167">
        <f>MIN(BH325)</f>
        <v>3</v>
      </c>
      <c r="BR314" s="167">
        <f t="shared" ref="BR314:BS314" si="679">MIN(BI325)</f>
        <v>3</v>
      </c>
      <c r="BS314" s="167">
        <f t="shared" si="679"/>
        <v>3</v>
      </c>
    </row>
    <row r="315" spans="3:71" ht="15.75" thickBot="1" x14ac:dyDescent="0.3">
      <c r="C315" s="166"/>
      <c r="D315" s="665" t="s">
        <v>419</v>
      </c>
      <c r="E315" s="798"/>
      <c r="F315" s="798"/>
      <c r="G315" s="799"/>
      <c r="BG315" s="1202" t="s">
        <v>792</v>
      </c>
      <c r="BH315" s="258">
        <f t="shared" si="655"/>
        <v>3</v>
      </c>
      <c r="BI315" s="258">
        <f t="shared" si="656"/>
        <v>3</v>
      </c>
      <c r="BJ315" s="258">
        <f t="shared" si="657"/>
        <v>3</v>
      </c>
    </row>
    <row r="316" spans="3:71" ht="15.75" thickBot="1" x14ac:dyDescent="0.3">
      <c r="C316" s="192"/>
      <c r="D316" s="670" t="s">
        <v>419</v>
      </c>
      <c r="E316" s="802"/>
      <c r="F316" s="802"/>
      <c r="G316" s="803"/>
      <c r="BG316" s="1201" t="s">
        <v>793</v>
      </c>
      <c r="BH316" s="99">
        <f t="shared" si="655"/>
        <v>2</v>
      </c>
      <c r="BI316" s="99">
        <f t="shared" si="656"/>
        <v>2</v>
      </c>
      <c r="BJ316" s="99">
        <f t="shared" si="657"/>
        <v>2</v>
      </c>
    </row>
    <row r="317" spans="3:71" x14ac:dyDescent="0.25">
      <c r="C317" s="313"/>
      <c r="D317" s="177" t="s">
        <v>408</v>
      </c>
      <c r="E317" s="804">
        <v>1</v>
      </c>
      <c r="F317" s="804"/>
      <c r="G317" s="805"/>
      <c r="BG317" s="1201" t="s">
        <v>794</v>
      </c>
      <c r="BH317" s="99">
        <f t="shared" si="655"/>
        <v>4</v>
      </c>
      <c r="BI317" s="99">
        <f t="shared" si="656"/>
        <v>4</v>
      </c>
      <c r="BJ317" s="99">
        <f t="shared" si="657"/>
        <v>4</v>
      </c>
    </row>
    <row r="318" spans="3:71" x14ac:dyDescent="0.25">
      <c r="C318" s="166"/>
      <c r="D318" s="167" t="s">
        <v>412</v>
      </c>
      <c r="E318" s="798">
        <v>0.5</v>
      </c>
      <c r="F318" s="798"/>
      <c r="G318" s="799"/>
      <c r="BG318" s="1201" t="s">
        <v>795</v>
      </c>
      <c r="BH318" s="99">
        <f t="shared" si="655"/>
        <v>0</v>
      </c>
      <c r="BI318" s="99">
        <f t="shared" si="656"/>
        <v>0</v>
      </c>
      <c r="BJ318" s="99">
        <f t="shared" si="657"/>
        <v>0</v>
      </c>
    </row>
    <row r="319" spans="3:71" ht="15.75" thickBot="1" x14ac:dyDescent="0.3">
      <c r="C319" s="229"/>
      <c r="D319" s="199" t="s">
        <v>410</v>
      </c>
      <c r="E319" s="800">
        <v>1</v>
      </c>
      <c r="F319" s="800"/>
      <c r="G319" s="801"/>
      <c r="BG319" s="1202" t="s">
        <v>992</v>
      </c>
      <c r="BH319" s="258">
        <f t="shared" si="655"/>
        <v>5</v>
      </c>
      <c r="BI319" s="258">
        <f t="shared" si="656"/>
        <v>5</v>
      </c>
      <c r="BJ319" s="258">
        <f t="shared" si="657"/>
        <v>5</v>
      </c>
    </row>
    <row r="320" spans="3:71" x14ac:dyDescent="0.25">
      <c r="C320" s="163"/>
      <c r="D320" s="669" t="s">
        <v>419</v>
      </c>
      <c r="E320" s="796"/>
      <c r="F320" s="796"/>
      <c r="G320" s="797"/>
      <c r="BG320" s="689" t="s">
        <v>796</v>
      </c>
      <c r="BH320" s="96">
        <f t="shared" si="655"/>
        <v>3</v>
      </c>
      <c r="BI320" s="96">
        <f t="shared" si="656"/>
        <v>3</v>
      </c>
      <c r="BJ320" s="96">
        <f t="shared" si="657"/>
        <v>3</v>
      </c>
    </row>
    <row r="321" spans="3:62" ht="15.75" thickBot="1" x14ac:dyDescent="0.3">
      <c r="C321" s="166"/>
      <c r="D321" s="665" t="s">
        <v>419</v>
      </c>
      <c r="E321" s="798"/>
      <c r="F321" s="798"/>
      <c r="G321" s="799"/>
      <c r="BG321" s="1202" t="s">
        <v>797</v>
      </c>
      <c r="BH321" s="258">
        <f t="shared" si="655"/>
        <v>9</v>
      </c>
      <c r="BI321" s="258">
        <f t="shared" si="656"/>
        <v>9</v>
      </c>
      <c r="BJ321" s="258">
        <f t="shared" si="657"/>
        <v>9</v>
      </c>
    </row>
    <row r="322" spans="3:62" ht="15.75" thickBot="1" x14ac:dyDescent="0.3">
      <c r="C322" s="166"/>
      <c r="D322" s="665" t="s">
        <v>419</v>
      </c>
      <c r="E322" s="798"/>
      <c r="F322" s="798"/>
      <c r="G322" s="799"/>
      <c r="BG322" s="1203" t="s">
        <v>993</v>
      </c>
      <c r="BH322" s="1080">
        <f t="shared" si="655"/>
        <v>3</v>
      </c>
      <c r="BI322" s="1080">
        <f t="shared" si="656"/>
        <v>3</v>
      </c>
      <c r="BJ322" s="1080">
        <f t="shared" si="657"/>
        <v>3</v>
      </c>
    </row>
    <row r="323" spans="3:62" ht="15.75" thickBot="1" x14ac:dyDescent="0.3">
      <c r="C323" s="166"/>
      <c r="D323" s="167" t="str">
        <f>AIS_NA</f>
        <v>N/A</v>
      </c>
      <c r="E323" s="798">
        <v>1</v>
      </c>
      <c r="F323" s="798"/>
      <c r="G323" s="799"/>
      <c r="BG323" s="1202" t="s">
        <v>803</v>
      </c>
      <c r="BH323" s="258">
        <f t="shared" si="655"/>
        <v>2</v>
      </c>
      <c r="BI323" s="258">
        <f t="shared" si="656"/>
        <v>2</v>
      </c>
      <c r="BJ323" s="258">
        <f t="shared" si="657"/>
        <v>2</v>
      </c>
    </row>
    <row r="324" spans="3:62" ht="15.75" thickBot="1" x14ac:dyDescent="0.3">
      <c r="C324" s="229"/>
      <c r="D324" s="199" t="s">
        <v>14</v>
      </c>
      <c r="E324" s="800">
        <v>1</v>
      </c>
      <c r="F324" s="800"/>
      <c r="G324" s="801"/>
      <c r="BG324" s="1202" t="s">
        <v>809</v>
      </c>
      <c r="BH324" s="258">
        <f t="shared" si="655"/>
        <v>4</v>
      </c>
      <c r="BI324" s="258">
        <f t="shared" si="656"/>
        <v>4</v>
      </c>
      <c r="BJ324" s="258">
        <f t="shared" si="657"/>
        <v>4</v>
      </c>
    </row>
    <row r="325" spans="3:62" ht="15.75" thickBot="1" x14ac:dyDescent="0.3">
      <c r="BG325" s="1202" t="s">
        <v>814</v>
      </c>
      <c r="BH325" s="258">
        <f t="shared" si="655"/>
        <v>3</v>
      </c>
      <c r="BI325" s="258">
        <f t="shared" si="656"/>
        <v>3</v>
      </c>
      <c r="BJ325" s="258">
        <f t="shared" si="657"/>
        <v>3</v>
      </c>
    </row>
    <row r="333" spans="3:62" x14ac:dyDescent="0.25">
      <c r="D333" s="137" t="s">
        <v>578</v>
      </c>
    </row>
    <row r="335" spans="3:62" x14ac:dyDescent="0.25">
      <c r="D335" s="96" t="s">
        <v>545</v>
      </c>
    </row>
    <row r="336" spans="3:62" x14ac:dyDescent="0.25">
      <c r="D336" s="96" t="s">
        <v>542</v>
      </c>
    </row>
    <row r="337" spans="4:70" x14ac:dyDescent="0.25">
      <c r="D337" s="96" t="s">
        <v>549</v>
      </c>
    </row>
    <row r="338" spans="4:70" x14ac:dyDescent="0.25">
      <c r="D338" s="96" t="s">
        <v>543</v>
      </c>
    </row>
    <row r="339" spans="4:70" x14ac:dyDescent="0.25">
      <c r="D339" s="96" t="s">
        <v>559</v>
      </c>
      <c r="BO339" s="96" t="s">
        <v>981</v>
      </c>
      <c r="BQ339" s="96" t="s">
        <v>982</v>
      </c>
      <c r="BR339" s="96" t="str">
        <f>ADPT</f>
        <v>New Construction (fully fitted)</v>
      </c>
    </row>
    <row r="340" spans="4:70" x14ac:dyDescent="0.25">
      <c r="D340" s="96" t="s">
        <v>561</v>
      </c>
      <c r="BN340" s="1149"/>
      <c r="BO340" s="1149" t="s">
        <v>977</v>
      </c>
      <c r="BP340" s="1149" t="s">
        <v>978</v>
      </c>
      <c r="BQ340" s="1149" t="s">
        <v>979</v>
      </c>
      <c r="BR340" s="1149" t="s">
        <v>980</v>
      </c>
    </row>
    <row r="341" spans="4:70" x14ac:dyDescent="0.25">
      <c r="D341" s="96" t="s">
        <v>562</v>
      </c>
      <c r="BN341" s="49" t="s">
        <v>976</v>
      </c>
      <c r="BO341" s="1148">
        <v>0.13</v>
      </c>
      <c r="BP341" s="1148">
        <v>0.13</v>
      </c>
      <c r="BQ341" s="1148">
        <v>0.13</v>
      </c>
      <c r="BR341" s="1150">
        <f>IF($BR$339='Assessment Details'!$Q$12,Poeng!BP341,IF(Poeng!$BR$339=ADPT02,Poeng!BQ341,Poeng!BO341))</f>
        <v>0.13</v>
      </c>
    </row>
    <row r="342" spans="4:70" x14ac:dyDescent="0.25">
      <c r="D342" s="96" t="s">
        <v>571</v>
      </c>
      <c r="BN342" s="49" t="s">
        <v>64</v>
      </c>
      <c r="BO342" s="1148">
        <v>0.16</v>
      </c>
      <c r="BP342" s="1148">
        <v>0.09</v>
      </c>
      <c r="BQ342" s="1148">
        <v>0.08</v>
      </c>
      <c r="BR342" s="1150">
        <f>IF($BR$339='Assessment Details'!$Q$12,Poeng!BP342,IF(Poeng!$BR$339=ADPT02,Poeng!BQ342,Poeng!BO342))</f>
        <v>0.16</v>
      </c>
    </row>
    <row r="343" spans="4:70" x14ac:dyDescent="0.25">
      <c r="D343" s="96" t="s">
        <v>572</v>
      </c>
      <c r="BN343" s="49" t="s">
        <v>67</v>
      </c>
      <c r="BO343" s="1148">
        <v>0.14000000000000001</v>
      </c>
      <c r="BP343" s="1148">
        <v>0.12</v>
      </c>
      <c r="BQ343" s="1148">
        <v>7.0000000000000007E-2</v>
      </c>
      <c r="BR343" s="1150">
        <f>IF($BR$339='Assessment Details'!$Q$12,Poeng!BP343,IF(Poeng!$BR$339=ADPT02,Poeng!BQ343,Poeng!BO343))</f>
        <v>0.14000000000000001</v>
      </c>
    </row>
    <row r="344" spans="4:70" x14ac:dyDescent="0.25">
      <c r="D344" s="96" t="s">
        <v>573</v>
      </c>
      <c r="BN344" s="49" t="s">
        <v>68</v>
      </c>
      <c r="BO344" s="1148">
        <v>0.1</v>
      </c>
      <c r="BP344" s="1148">
        <v>0.12</v>
      </c>
      <c r="BQ344" s="1148">
        <v>0.15</v>
      </c>
      <c r="BR344" s="1150">
        <f>IF($BR$339='Assessment Details'!$Q$12,Poeng!BP344,IF(Poeng!$BR$339=ADPT02,Poeng!BQ344,Poeng!BO344))</f>
        <v>0.1</v>
      </c>
    </row>
    <row r="345" spans="4:70" x14ac:dyDescent="0.25">
      <c r="D345" s="96" t="s">
        <v>566</v>
      </c>
      <c r="BN345" s="49" t="s">
        <v>69</v>
      </c>
      <c r="BO345" s="1148">
        <v>0.04</v>
      </c>
      <c r="BP345" s="1148">
        <v>0.04</v>
      </c>
      <c r="BQ345" s="1148">
        <v>0.01</v>
      </c>
      <c r="BR345" s="1150">
        <f>IF($BR$339='Assessment Details'!$Q$12,Poeng!BP345,IF(Poeng!$BR$339=ADPT02,Poeng!BQ345,Poeng!BO345))</f>
        <v>0.04</v>
      </c>
    </row>
    <row r="346" spans="4:70" x14ac:dyDescent="0.25">
      <c r="D346" s="96" t="s">
        <v>312</v>
      </c>
      <c r="BN346" s="49" t="s">
        <v>61</v>
      </c>
      <c r="BO346" s="1148">
        <v>0.17</v>
      </c>
      <c r="BP346" s="1148">
        <v>0.2</v>
      </c>
      <c r="BQ346" s="1148">
        <v>0.24</v>
      </c>
      <c r="BR346" s="1150">
        <f>IF($BR$339='Assessment Details'!$Q$12,Poeng!BP346,IF(Poeng!$BR$339=ADPT02,Poeng!BQ346,Poeng!BO346))</f>
        <v>0.17</v>
      </c>
    </row>
    <row r="347" spans="4:70" x14ac:dyDescent="0.25">
      <c r="BN347" s="49" t="s">
        <v>70</v>
      </c>
      <c r="BO347" s="1148">
        <v>7.0000000000000007E-2</v>
      </c>
      <c r="BP347" s="1148">
        <v>0.08</v>
      </c>
      <c r="BQ347" s="1148">
        <v>0.09</v>
      </c>
      <c r="BR347" s="1150">
        <f>IF($BR$339='Assessment Details'!$Q$12,Poeng!BP347,IF(Poeng!$BR$339=ADPT02,Poeng!BQ347,Poeng!BO347))</f>
        <v>7.0000000000000007E-2</v>
      </c>
    </row>
    <row r="348" spans="4:70" x14ac:dyDescent="0.25">
      <c r="BN348" s="49" t="s">
        <v>71</v>
      </c>
      <c r="BO348" s="1148">
        <v>0.15</v>
      </c>
      <c r="BP348" s="1148">
        <v>0.17</v>
      </c>
      <c r="BQ348" s="1148">
        <v>0.21</v>
      </c>
      <c r="BR348" s="1150">
        <f>IF($BR$339='Assessment Details'!$Q$12,Poeng!BP348,IF(Poeng!$BR$339=ADPT02,Poeng!BQ348,Poeng!BO348))</f>
        <v>0.15</v>
      </c>
    </row>
    <row r="349" spans="4:70" x14ac:dyDescent="0.25">
      <c r="BN349" s="49" t="s">
        <v>72</v>
      </c>
      <c r="BO349" s="1148">
        <v>0.04</v>
      </c>
      <c r="BP349" s="1148">
        <v>0.05</v>
      </c>
      <c r="BQ349" s="1148">
        <v>0.02</v>
      </c>
      <c r="BR349" s="1150">
        <f>IF($BR$339='Assessment Details'!$Q$12,Poeng!BP349,IF(Poeng!$BR$339=ADPT02,Poeng!BQ349,Poeng!BO349))</f>
        <v>0.04</v>
      </c>
    </row>
    <row r="350" spans="4:70" x14ac:dyDescent="0.25">
      <c r="BN350" s="49" t="s">
        <v>73</v>
      </c>
      <c r="BO350" s="1148">
        <v>0.1</v>
      </c>
      <c r="BP350" s="1148">
        <v>0.1</v>
      </c>
      <c r="BQ350" s="1148">
        <v>0.1</v>
      </c>
      <c r="BR350" s="1150">
        <f>IF($BR$339='Assessment Details'!$Q$12,Poeng!BP350,IF(Poeng!$BR$339=ADPT02,Poeng!BQ350,Poeng!BO350))</f>
        <v>0.1</v>
      </c>
    </row>
    <row r="351" spans="4:70" x14ac:dyDescent="0.25">
      <c r="BN351" s="49" t="s">
        <v>74</v>
      </c>
      <c r="BO351" s="1148">
        <v>0.1</v>
      </c>
      <c r="BP351" s="1148">
        <v>0.1</v>
      </c>
      <c r="BQ351" s="1148">
        <v>0.1</v>
      </c>
      <c r="BR351" s="1150">
        <f>IF($BR$339='Assessment Details'!$Q$12,Poeng!BP351,IF(Poeng!$BR$339=ADPT02,Poeng!BQ351,Poeng!BO351))</f>
        <v>0.1</v>
      </c>
    </row>
    <row r="352" spans="4:70" x14ac:dyDescent="0.25">
      <c r="BN352" s="1058"/>
      <c r="BO352" s="1058"/>
      <c r="BP352" s="1058"/>
      <c r="BQ352" s="1058"/>
      <c r="BR352" s="1058"/>
    </row>
    <row r="353" spans="8:70" x14ac:dyDescent="0.25">
      <c r="BN353" s="1058"/>
      <c r="BO353" s="1058"/>
      <c r="BP353" s="1058"/>
      <c r="BQ353" s="1058"/>
      <c r="BR353" s="1058"/>
    </row>
    <row r="354" spans="8:70" x14ac:dyDescent="0.25">
      <c r="BN354" s="1058"/>
      <c r="BO354" s="1058"/>
      <c r="BP354" s="1058"/>
      <c r="BQ354" s="1058"/>
      <c r="BR354" s="1058"/>
    </row>
    <row r="358" spans="8:70" x14ac:dyDescent="0.25">
      <c r="H358" s="995" t="s">
        <v>384</v>
      </c>
    </row>
    <row r="359" spans="8:70" x14ac:dyDescent="0.25">
      <c r="H359" s="995" t="s">
        <v>903</v>
      </c>
    </row>
    <row r="360" spans="8:70" x14ac:dyDescent="0.25">
      <c r="H360" s="995" t="s">
        <v>384</v>
      </c>
    </row>
    <row r="361" spans="8:70" x14ac:dyDescent="0.25">
      <c r="H361" s="995" t="s">
        <v>904</v>
      </c>
    </row>
    <row r="362" spans="8:70" x14ac:dyDescent="0.25">
      <c r="H362" s="995" t="s">
        <v>864</v>
      </c>
    </row>
    <row r="363" spans="8:70" x14ac:dyDescent="0.25">
      <c r="H363" s="995" t="s">
        <v>905</v>
      </c>
    </row>
    <row r="364" spans="8:70" x14ac:dyDescent="0.25">
      <c r="H364" s="995" t="s">
        <v>906</v>
      </c>
    </row>
    <row r="365" spans="8:70" x14ac:dyDescent="0.25">
      <c r="H365" s="995" t="s">
        <v>907</v>
      </c>
    </row>
    <row r="366" spans="8:70" x14ac:dyDescent="0.25">
      <c r="H366" s="995" t="s">
        <v>908</v>
      </c>
    </row>
    <row r="367" spans="8:70" x14ac:dyDescent="0.25">
      <c r="H367" s="995" t="s">
        <v>909</v>
      </c>
    </row>
    <row r="368" spans="8:70" x14ac:dyDescent="0.25">
      <c r="H368" s="995" t="s">
        <v>390</v>
      </c>
    </row>
    <row r="369" spans="8:8" x14ac:dyDescent="0.25">
      <c r="H369" s="995" t="s">
        <v>910</v>
      </c>
    </row>
    <row r="370" spans="8:8" x14ac:dyDescent="0.25">
      <c r="H370" s="995" t="s">
        <v>911</v>
      </c>
    </row>
  </sheetData>
  <sheetProtection algorithmName="SHA-512" hashValue="p7S5M1FFseZyzxgPJXUtuy5nR+Pax3hxoUUDgO4VxmNLQtu1jT70WhrwU2d/wF/z7hmFiBOKaBLSzC96kJLmzg==" saltValue="NKdsjPLKvnxw2rcBNlKI9w==" spinCount="100000" sheet="1" selectLockedCells="1"/>
  <autoFilter ref="C8:Q214" xr:uid="{2BC97E53-6E09-4249-8C7A-D2A4EE3C2794}">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sortState xmlns:xlrd2="http://schemas.microsoft.com/office/spreadsheetml/2017/richdata2" ref="D309:E392">
    <sortCondition ref="E309:E392"/>
  </sortState>
  <mergeCells count="14">
    <mergeCell ref="BN8:BP8"/>
    <mergeCell ref="BI8:BK8"/>
    <mergeCell ref="BC8:BE8"/>
    <mergeCell ref="BF8:BH8"/>
    <mergeCell ref="AW257:BB257"/>
    <mergeCell ref="AW258:BB258"/>
    <mergeCell ref="AD7:AF7"/>
    <mergeCell ref="AW259:BB259"/>
    <mergeCell ref="AW260:BB260"/>
    <mergeCell ref="E8:Q8"/>
    <mergeCell ref="T8:Y8"/>
    <mergeCell ref="AL8:AP8"/>
    <mergeCell ref="AR8:AV8"/>
    <mergeCell ref="AX8:BB8"/>
  </mergeCells>
  <phoneticPr fontId="52" type="noConversion"/>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7407-5863-4540-8005-DCA0DF80D7D1}">
  <dimension ref="B3:F158"/>
  <sheetViews>
    <sheetView workbookViewId="0">
      <selection activeCell="I36" sqref="I36"/>
    </sheetView>
  </sheetViews>
  <sheetFormatPr defaultColWidth="8.7109375" defaultRowHeight="15" x14ac:dyDescent="0.25"/>
  <cols>
    <col min="2" max="2" width="15.140625" bestFit="1" customWidth="1"/>
    <col min="3" max="3" width="71.85546875" bestFit="1" customWidth="1"/>
    <col min="5" max="5" width="22.42578125" bestFit="1" customWidth="1"/>
  </cols>
  <sheetData>
    <row r="3" spans="2:6" x14ac:dyDescent="0.25">
      <c r="B3" s="1320" t="s">
        <v>344</v>
      </c>
      <c r="C3" s="1320" t="s">
        <v>345</v>
      </c>
      <c r="D3" s="1322" t="s">
        <v>835</v>
      </c>
      <c r="E3" s="1320" t="s">
        <v>836</v>
      </c>
      <c r="F3" s="1321" t="s">
        <v>347</v>
      </c>
    </row>
    <row r="4" spans="2:6" x14ac:dyDescent="0.25">
      <c r="B4" s="1320"/>
      <c r="C4" s="1320"/>
      <c r="D4" s="1322"/>
      <c r="E4" s="1320"/>
      <c r="F4" s="1321"/>
    </row>
    <row r="5" spans="2:6" x14ac:dyDescent="0.25">
      <c r="B5" s="1320"/>
      <c r="C5" s="1320"/>
      <c r="D5" s="1322"/>
      <c r="E5" s="1320"/>
      <c r="F5" s="1321"/>
    </row>
    <row r="6" spans="2:6" x14ac:dyDescent="0.25">
      <c r="B6" s="896" t="s">
        <v>348</v>
      </c>
      <c r="C6" s="896"/>
      <c r="D6" s="905"/>
      <c r="E6" s="896"/>
      <c r="F6" s="897"/>
    </row>
    <row r="7" spans="2:6" x14ac:dyDescent="0.25">
      <c r="B7" s="1323" t="s">
        <v>94</v>
      </c>
      <c r="C7" s="1305" t="s">
        <v>837</v>
      </c>
      <c r="D7" s="1306"/>
      <c r="E7" s="1306"/>
      <c r="F7" s="1307"/>
    </row>
    <row r="8" spans="2:6" x14ac:dyDescent="0.25">
      <c r="B8" s="1324"/>
      <c r="C8" s="901" t="s">
        <v>589</v>
      </c>
      <c r="D8" s="906">
        <v>1</v>
      </c>
      <c r="E8" s="916">
        <v>1</v>
      </c>
      <c r="F8" s="917" t="s">
        <v>349</v>
      </c>
    </row>
    <row r="9" spans="2:6" x14ac:dyDescent="0.25">
      <c r="B9" s="1324"/>
      <c r="C9" s="901" t="s">
        <v>590</v>
      </c>
      <c r="D9" s="906">
        <v>1</v>
      </c>
      <c r="E9" s="916">
        <v>1</v>
      </c>
      <c r="F9" s="917" t="s">
        <v>349</v>
      </c>
    </row>
    <row r="10" spans="2:6" x14ac:dyDescent="0.25">
      <c r="B10" s="1324"/>
      <c r="C10" s="901" t="s">
        <v>591</v>
      </c>
      <c r="D10" s="906">
        <v>2</v>
      </c>
      <c r="E10" s="916">
        <v>2</v>
      </c>
      <c r="F10" s="917" t="s">
        <v>349</v>
      </c>
    </row>
    <row r="11" spans="2:6" x14ac:dyDescent="0.25">
      <c r="B11" s="1325"/>
      <c r="C11" s="901" t="s">
        <v>592</v>
      </c>
      <c r="D11" s="906">
        <v>1</v>
      </c>
      <c r="E11" s="916">
        <v>1</v>
      </c>
      <c r="F11" s="917" t="s">
        <v>349</v>
      </c>
    </row>
    <row r="12" spans="2:6" x14ac:dyDescent="0.25">
      <c r="B12" s="1323" t="s">
        <v>95</v>
      </c>
      <c r="C12" s="1305" t="s">
        <v>838</v>
      </c>
      <c r="D12" s="1306"/>
      <c r="E12" s="1306"/>
      <c r="F12" s="1307"/>
    </row>
    <row r="13" spans="2:6" x14ac:dyDescent="0.25">
      <c r="B13" s="1324"/>
      <c r="C13" s="901" t="s">
        <v>594</v>
      </c>
      <c r="D13" s="906">
        <v>2</v>
      </c>
      <c r="E13" s="918">
        <v>2</v>
      </c>
      <c r="F13" s="917" t="s">
        <v>349</v>
      </c>
    </row>
    <row r="14" spans="2:6" x14ac:dyDescent="0.25">
      <c r="B14" s="1325"/>
      <c r="C14" s="901" t="s">
        <v>595</v>
      </c>
      <c r="D14" s="906">
        <v>1</v>
      </c>
      <c r="E14" s="918">
        <v>1</v>
      </c>
      <c r="F14" s="917" t="s">
        <v>349</v>
      </c>
    </row>
    <row r="15" spans="2:6" x14ac:dyDescent="0.25">
      <c r="B15" s="1323" t="s">
        <v>96</v>
      </c>
      <c r="C15" s="1305" t="s">
        <v>350</v>
      </c>
      <c r="D15" s="1306"/>
      <c r="E15" s="1306"/>
      <c r="F15" s="1307"/>
    </row>
    <row r="16" spans="2:6" x14ac:dyDescent="0.25">
      <c r="B16" s="1324"/>
      <c r="C16" s="901" t="s">
        <v>596</v>
      </c>
      <c r="D16" s="906">
        <v>1</v>
      </c>
      <c r="E16" s="916">
        <v>1</v>
      </c>
      <c r="F16" s="917" t="s">
        <v>349</v>
      </c>
    </row>
    <row r="17" spans="2:6" x14ac:dyDescent="0.25">
      <c r="B17" s="1324"/>
      <c r="C17" s="901" t="s">
        <v>597</v>
      </c>
      <c r="D17" s="906">
        <v>1</v>
      </c>
      <c r="E17" s="916">
        <v>1</v>
      </c>
      <c r="F17" s="917" t="s">
        <v>349</v>
      </c>
    </row>
    <row r="18" spans="2:6" x14ac:dyDescent="0.25">
      <c r="B18" s="1324"/>
      <c r="C18" s="901" t="s">
        <v>598</v>
      </c>
      <c r="D18" s="906">
        <v>2</v>
      </c>
      <c r="E18" s="916">
        <v>2</v>
      </c>
      <c r="F18" s="917" t="s">
        <v>349</v>
      </c>
    </row>
    <row r="19" spans="2:6" x14ac:dyDescent="0.25">
      <c r="B19" s="1325"/>
      <c r="C19" s="901" t="s">
        <v>599</v>
      </c>
      <c r="D19" s="906">
        <v>1</v>
      </c>
      <c r="E19" s="916">
        <v>1</v>
      </c>
      <c r="F19" s="917" t="s">
        <v>349</v>
      </c>
    </row>
    <row r="20" spans="2:6" x14ac:dyDescent="0.25">
      <c r="B20" s="1323" t="s">
        <v>97</v>
      </c>
      <c r="C20" s="1305" t="s">
        <v>351</v>
      </c>
      <c r="D20" s="1306"/>
      <c r="E20" s="1306"/>
      <c r="F20" s="1307"/>
    </row>
    <row r="21" spans="2:6" x14ac:dyDescent="0.25">
      <c r="B21" s="1324"/>
      <c r="C21" s="901" t="s">
        <v>600</v>
      </c>
      <c r="D21" s="906">
        <v>1</v>
      </c>
      <c r="E21" s="916">
        <v>1</v>
      </c>
      <c r="F21" s="917" t="s">
        <v>349</v>
      </c>
    </row>
    <row r="22" spans="2:6" x14ac:dyDescent="0.25">
      <c r="B22" s="1324"/>
      <c r="C22" s="901" t="s">
        <v>601</v>
      </c>
      <c r="D22" s="906">
        <v>1</v>
      </c>
      <c r="E22" s="916">
        <v>1</v>
      </c>
      <c r="F22" s="917" t="s">
        <v>349</v>
      </c>
    </row>
    <row r="23" spans="2:6" x14ac:dyDescent="0.25">
      <c r="B23" s="1325"/>
      <c r="C23" s="901" t="s">
        <v>602</v>
      </c>
      <c r="D23" s="906">
        <v>1</v>
      </c>
      <c r="E23" s="916">
        <v>1</v>
      </c>
      <c r="F23" s="917" t="s">
        <v>349</v>
      </c>
    </row>
    <row r="24" spans="2:6" x14ac:dyDescent="0.25">
      <c r="B24" s="1326" t="s">
        <v>98</v>
      </c>
      <c r="C24" s="1306" t="s">
        <v>352</v>
      </c>
      <c r="D24" s="1306"/>
      <c r="E24" s="1306"/>
      <c r="F24" s="1307"/>
    </row>
    <row r="25" spans="2:6" x14ac:dyDescent="0.25">
      <c r="B25" s="1327"/>
      <c r="C25" s="901" t="s">
        <v>603</v>
      </c>
      <c r="D25" s="906">
        <v>1</v>
      </c>
      <c r="E25" s="916">
        <v>1</v>
      </c>
      <c r="F25" s="917" t="s">
        <v>349</v>
      </c>
    </row>
    <row r="26" spans="2:6" x14ac:dyDescent="0.25">
      <c r="B26" s="1327"/>
      <c r="C26" s="901" t="s">
        <v>604</v>
      </c>
      <c r="D26" s="906">
        <v>1</v>
      </c>
      <c r="E26" s="916">
        <v>1</v>
      </c>
      <c r="F26" s="917" t="s">
        <v>349</v>
      </c>
    </row>
    <row r="27" spans="2:6" x14ac:dyDescent="0.25">
      <c r="B27" s="1327"/>
      <c r="C27" s="901" t="s">
        <v>605</v>
      </c>
      <c r="D27" s="906">
        <v>1</v>
      </c>
      <c r="E27" s="916">
        <v>1</v>
      </c>
      <c r="F27" s="917" t="s">
        <v>349</v>
      </c>
    </row>
    <row r="28" spans="2:6" x14ac:dyDescent="0.25">
      <c r="B28" s="899" t="s">
        <v>353</v>
      </c>
      <c r="C28" s="898"/>
      <c r="D28" s="907"/>
      <c r="E28" s="899"/>
      <c r="F28" s="919"/>
    </row>
    <row r="29" spans="2:6" x14ac:dyDescent="0.25">
      <c r="B29" s="1317" t="s">
        <v>119</v>
      </c>
      <c r="C29" s="1311" t="s">
        <v>839</v>
      </c>
      <c r="D29" s="1312"/>
      <c r="E29" s="1312"/>
      <c r="F29" s="1313"/>
    </row>
    <row r="30" spans="2:6" x14ac:dyDescent="0.25">
      <c r="B30" s="1318"/>
      <c r="C30" s="903" t="s">
        <v>606</v>
      </c>
      <c r="D30" s="906">
        <v>3</v>
      </c>
      <c r="E30" s="920">
        <v>3</v>
      </c>
      <c r="F30" s="921" t="s">
        <v>349</v>
      </c>
    </row>
    <row r="31" spans="2:6" x14ac:dyDescent="0.25">
      <c r="B31" s="1318"/>
      <c r="C31" s="903" t="s">
        <v>607</v>
      </c>
      <c r="D31" s="906">
        <v>1</v>
      </c>
      <c r="E31" s="922">
        <v>1</v>
      </c>
      <c r="F31" s="923" t="s">
        <v>349</v>
      </c>
    </row>
    <row r="32" spans="2:6" x14ac:dyDescent="0.25">
      <c r="B32" s="1318"/>
      <c r="C32" s="903" t="s">
        <v>608</v>
      </c>
      <c r="D32" s="906">
        <v>1</v>
      </c>
      <c r="E32" s="922">
        <v>1</v>
      </c>
      <c r="F32" s="923" t="s">
        <v>349</v>
      </c>
    </row>
    <row r="33" spans="2:6" x14ac:dyDescent="0.25">
      <c r="B33" s="1318"/>
      <c r="C33" s="903" t="s">
        <v>609</v>
      </c>
      <c r="D33" s="906" t="s">
        <v>237</v>
      </c>
      <c r="E33" s="922" t="s">
        <v>237</v>
      </c>
      <c r="F33" s="923" t="s">
        <v>354</v>
      </c>
    </row>
    <row r="34" spans="2:6" x14ac:dyDescent="0.25">
      <c r="B34" s="1319"/>
      <c r="C34" s="903" t="s">
        <v>610</v>
      </c>
      <c r="D34" s="906">
        <v>1</v>
      </c>
      <c r="E34" s="916">
        <v>1</v>
      </c>
      <c r="F34" s="921" t="s">
        <v>354</v>
      </c>
    </row>
    <row r="35" spans="2:6" x14ac:dyDescent="0.25">
      <c r="B35" s="1317" t="s">
        <v>120</v>
      </c>
      <c r="C35" s="1311" t="s">
        <v>840</v>
      </c>
      <c r="D35" s="1312"/>
      <c r="E35" s="1312"/>
      <c r="F35" s="1313"/>
    </row>
    <row r="36" spans="2:6" x14ac:dyDescent="0.25">
      <c r="B36" s="1318"/>
      <c r="C36" s="903" t="s">
        <v>612</v>
      </c>
      <c r="D36" s="906">
        <v>1</v>
      </c>
      <c r="E36" s="916">
        <v>1</v>
      </c>
      <c r="F36" s="921"/>
    </row>
    <row r="37" spans="2:6" x14ac:dyDescent="0.25">
      <c r="B37" s="1318"/>
      <c r="C37" s="902" t="s">
        <v>613</v>
      </c>
      <c r="D37" s="906">
        <v>2</v>
      </c>
      <c r="E37" s="916">
        <v>2</v>
      </c>
      <c r="F37" s="921" t="s">
        <v>349</v>
      </c>
    </row>
    <row r="38" spans="2:6" x14ac:dyDescent="0.25">
      <c r="B38" s="1319"/>
      <c r="C38" s="902" t="s">
        <v>614</v>
      </c>
      <c r="D38" s="906">
        <v>1</v>
      </c>
      <c r="E38" s="924">
        <v>1</v>
      </c>
      <c r="F38" s="921" t="s">
        <v>349</v>
      </c>
    </row>
    <row r="39" spans="2:6" x14ac:dyDescent="0.25">
      <c r="B39" s="1317" t="s">
        <v>121</v>
      </c>
      <c r="C39" s="1311" t="s">
        <v>841</v>
      </c>
      <c r="D39" s="1312"/>
      <c r="E39" s="1312"/>
      <c r="F39" s="1313"/>
    </row>
    <row r="40" spans="2:6" x14ac:dyDescent="0.25">
      <c r="B40" s="1318"/>
      <c r="C40" s="903" t="s">
        <v>615</v>
      </c>
      <c r="D40" s="906">
        <v>1</v>
      </c>
      <c r="E40" s="916">
        <v>1</v>
      </c>
      <c r="F40" s="921" t="s">
        <v>349</v>
      </c>
    </row>
    <row r="41" spans="2:6" x14ac:dyDescent="0.25">
      <c r="B41" s="1318"/>
      <c r="C41" s="902" t="s">
        <v>616</v>
      </c>
      <c r="D41" s="906">
        <v>1</v>
      </c>
      <c r="E41" s="916">
        <v>1</v>
      </c>
      <c r="F41" s="921" t="s">
        <v>349</v>
      </c>
    </row>
    <row r="42" spans="2:6" x14ac:dyDescent="0.25">
      <c r="B42" s="1319"/>
      <c r="C42" s="902" t="s">
        <v>842</v>
      </c>
      <c r="D42" s="906">
        <v>1</v>
      </c>
      <c r="E42" s="916">
        <v>1</v>
      </c>
      <c r="F42" s="921" t="s">
        <v>349</v>
      </c>
    </row>
    <row r="43" spans="2:6" x14ac:dyDescent="0.25">
      <c r="B43" s="904" t="s">
        <v>123</v>
      </c>
      <c r="C43" s="909" t="s">
        <v>619</v>
      </c>
      <c r="D43" s="906">
        <v>3</v>
      </c>
      <c r="E43" s="920">
        <v>3</v>
      </c>
      <c r="F43" s="921" t="s">
        <v>349</v>
      </c>
    </row>
    <row r="44" spans="2:6" x14ac:dyDescent="0.25">
      <c r="B44" s="1308" t="s">
        <v>124</v>
      </c>
      <c r="C44" s="1311" t="s">
        <v>843</v>
      </c>
      <c r="D44" s="1312"/>
      <c r="E44" s="1312"/>
      <c r="F44" s="1313"/>
    </row>
    <row r="45" spans="2:6" x14ac:dyDescent="0.25">
      <c r="B45" s="1309"/>
      <c r="C45" s="903" t="s">
        <v>844</v>
      </c>
      <c r="D45" s="906">
        <v>1</v>
      </c>
      <c r="E45" s="920">
        <v>1</v>
      </c>
      <c r="F45" s="925" t="s">
        <v>349</v>
      </c>
    </row>
    <row r="46" spans="2:6" x14ac:dyDescent="0.25">
      <c r="B46" s="1310"/>
      <c r="C46" s="902" t="s">
        <v>845</v>
      </c>
      <c r="D46" s="906">
        <v>1</v>
      </c>
      <c r="E46" s="920">
        <v>1</v>
      </c>
      <c r="F46" s="925" t="s">
        <v>349</v>
      </c>
    </row>
    <row r="47" spans="2:6" x14ac:dyDescent="0.25">
      <c r="B47" s="904" t="s">
        <v>126</v>
      </c>
      <c r="C47" s="909" t="s">
        <v>355</v>
      </c>
      <c r="D47" s="906" t="s">
        <v>237</v>
      </c>
      <c r="E47" s="916" t="s">
        <v>237</v>
      </c>
      <c r="F47" s="921" t="s">
        <v>354</v>
      </c>
    </row>
    <row r="48" spans="2:6" x14ac:dyDescent="0.25">
      <c r="B48" s="900"/>
      <c r="C48" s="898"/>
      <c r="D48" s="907"/>
      <c r="E48" s="899"/>
      <c r="F48" s="919"/>
    </row>
    <row r="49" spans="2:6" x14ac:dyDescent="0.25">
      <c r="B49" s="899" t="s">
        <v>356</v>
      </c>
      <c r="C49" s="898"/>
      <c r="D49" s="907"/>
      <c r="E49" s="899"/>
      <c r="F49" s="919"/>
    </row>
    <row r="50" spans="2:6" x14ac:dyDescent="0.25">
      <c r="B50" s="1308" t="s">
        <v>137</v>
      </c>
      <c r="C50" s="1311" t="s">
        <v>846</v>
      </c>
      <c r="D50" s="1312"/>
      <c r="E50" s="1312"/>
      <c r="F50" s="1313"/>
    </row>
    <row r="51" spans="2:6" x14ac:dyDescent="0.25">
      <c r="B51" s="1309"/>
      <c r="C51" s="903" t="s">
        <v>623</v>
      </c>
      <c r="D51" s="906">
        <v>2</v>
      </c>
      <c r="E51" s="916">
        <v>2</v>
      </c>
      <c r="F51" s="917" t="s">
        <v>349</v>
      </c>
    </row>
    <row r="52" spans="2:6" x14ac:dyDescent="0.25">
      <c r="B52" s="1309"/>
      <c r="C52" s="902" t="s">
        <v>624</v>
      </c>
      <c r="D52" s="906">
        <v>1</v>
      </c>
      <c r="E52" s="916">
        <v>1</v>
      </c>
      <c r="F52" s="917" t="s">
        <v>349</v>
      </c>
    </row>
    <row r="53" spans="2:6" x14ac:dyDescent="0.25">
      <c r="B53" s="1309"/>
      <c r="C53" s="902" t="s">
        <v>625</v>
      </c>
      <c r="D53" s="906">
        <v>4</v>
      </c>
      <c r="E53" s="916">
        <v>4</v>
      </c>
      <c r="F53" s="917" t="s">
        <v>349</v>
      </c>
    </row>
    <row r="54" spans="2:6" x14ac:dyDescent="0.25">
      <c r="B54" s="1309"/>
      <c r="C54" s="902" t="s">
        <v>626</v>
      </c>
      <c r="D54" s="906">
        <v>1</v>
      </c>
      <c r="E54" s="916">
        <v>1</v>
      </c>
      <c r="F54" s="917" t="s">
        <v>349</v>
      </c>
    </row>
    <row r="55" spans="2:6" x14ac:dyDescent="0.25">
      <c r="B55" s="1310"/>
      <c r="C55" s="902" t="s">
        <v>627</v>
      </c>
      <c r="D55" s="906">
        <v>4</v>
      </c>
      <c r="E55" s="916">
        <v>4</v>
      </c>
      <c r="F55" s="917" t="s">
        <v>349</v>
      </c>
    </row>
    <row r="56" spans="2:6" x14ac:dyDescent="0.25">
      <c r="B56" s="1308" t="s">
        <v>138</v>
      </c>
      <c r="C56" s="1314" t="s">
        <v>847</v>
      </c>
      <c r="D56" s="1315"/>
      <c r="E56" s="1315"/>
      <c r="F56" s="1316"/>
    </row>
    <row r="57" spans="2:6" x14ac:dyDescent="0.25">
      <c r="B57" s="1309"/>
      <c r="C57" s="902" t="s">
        <v>628</v>
      </c>
      <c r="D57" s="906">
        <v>1</v>
      </c>
      <c r="E57" s="916">
        <v>1</v>
      </c>
      <c r="F57" s="926" t="s">
        <v>349</v>
      </c>
    </row>
    <row r="58" spans="2:6" x14ac:dyDescent="0.25">
      <c r="B58" s="1309"/>
      <c r="C58" s="902" t="s">
        <v>629</v>
      </c>
      <c r="D58" s="906">
        <v>1</v>
      </c>
      <c r="E58" s="916">
        <v>1</v>
      </c>
      <c r="F58" s="926" t="s">
        <v>349</v>
      </c>
    </row>
    <row r="59" spans="2:6" x14ac:dyDescent="0.25">
      <c r="B59" s="1310"/>
      <c r="C59" s="902" t="s">
        <v>630</v>
      </c>
      <c r="D59" s="906" t="s">
        <v>237</v>
      </c>
      <c r="E59" s="916" t="s">
        <v>237</v>
      </c>
      <c r="F59" s="926" t="s">
        <v>354</v>
      </c>
    </row>
    <row r="60" spans="2:6" x14ac:dyDescent="0.25">
      <c r="B60" s="904" t="s">
        <v>139</v>
      </c>
      <c r="C60" s="915" t="s">
        <v>358</v>
      </c>
      <c r="D60" s="906">
        <v>1</v>
      </c>
      <c r="E60" s="916">
        <v>1</v>
      </c>
      <c r="F60" s="926" t="s">
        <v>349</v>
      </c>
    </row>
    <row r="61" spans="2:6" x14ac:dyDescent="0.25">
      <c r="B61" s="1308" t="s">
        <v>141</v>
      </c>
      <c r="C61" s="1305" t="s">
        <v>359</v>
      </c>
      <c r="D61" s="1306"/>
      <c r="E61" s="1306"/>
      <c r="F61" s="1307"/>
    </row>
    <row r="62" spans="2:6" x14ac:dyDescent="0.25">
      <c r="B62" s="1309"/>
      <c r="C62" s="902" t="s">
        <v>633</v>
      </c>
      <c r="D62" s="906">
        <v>1</v>
      </c>
      <c r="E62" s="922" t="s">
        <v>237</v>
      </c>
      <c r="F62" s="927" t="s">
        <v>354</v>
      </c>
    </row>
    <row r="63" spans="2:6" x14ac:dyDescent="0.25">
      <c r="B63" s="1310"/>
      <c r="C63" s="902" t="s">
        <v>634</v>
      </c>
      <c r="D63" s="906">
        <v>1</v>
      </c>
      <c r="E63" s="922" t="s">
        <v>237</v>
      </c>
      <c r="F63" s="927" t="s">
        <v>354</v>
      </c>
    </row>
    <row r="64" spans="2:6" x14ac:dyDescent="0.25">
      <c r="B64" s="1308" t="s">
        <v>142</v>
      </c>
      <c r="C64" s="1305" t="s">
        <v>360</v>
      </c>
      <c r="D64" s="1306"/>
      <c r="E64" s="1306"/>
      <c r="F64" s="1307"/>
    </row>
    <row r="65" spans="2:6" x14ac:dyDescent="0.25">
      <c r="B65" s="1309"/>
      <c r="C65" s="902" t="s">
        <v>635</v>
      </c>
      <c r="D65" s="906">
        <v>1</v>
      </c>
      <c r="E65" s="916">
        <v>1</v>
      </c>
      <c r="F65" s="917" t="s">
        <v>349</v>
      </c>
    </row>
    <row r="66" spans="2:6" x14ac:dyDescent="0.25">
      <c r="B66" s="1310"/>
      <c r="C66" s="902" t="s">
        <v>636</v>
      </c>
      <c r="D66" s="906">
        <v>1</v>
      </c>
      <c r="E66" s="916">
        <v>1</v>
      </c>
      <c r="F66" s="917" t="s">
        <v>349</v>
      </c>
    </row>
    <row r="67" spans="2:6" x14ac:dyDescent="0.25">
      <c r="B67" s="1308" t="s">
        <v>143</v>
      </c>
      <c r="C67" s="1305" t="s">
        <v>361</v>
      </c>
      <c r="D67" s="1306"/>
      <c r="E67" s="1306"/>
      <c r="F67" s="1307"/>
    </row>
    <row r="68" spans="2:6" x14ac:dyDescent="0.25">
      <c r="B68" s="1309"/>
      <c r="C68" s="902" t="s">
        <v>637</v>
      </c>
      <c r="D68" s="906">
        <v>1</v>
      </c>
      <c r="E68" s="916" t="s">
        <v>237</v>
      </c>
      <c r="F68" s="917" t="s">
        <v>354</v>
      </c>
    </row>
    <row r="69" spans="2:6" x14ac:dyDescent="0.25">
      <c r="B69" s="1310"/>
      <c r="C69" s="902" t="s">
        <v>638</v>
      </c>
      <c r="D69" s="906">
        <v>4</v>
      </c>
      <c r="E69" s="916" t="s">
        <v>237</v>
      </c>
      <c r="F69" s="917" t="s">
        <v>354</v>
      </c>
    </row>
    <row r="70" spans="2:6" x14ac:dyDescent="0.25">
      <c r="B70" s="904" t="s">
        <v>144</v>
      </c>
      <c r="C70" s="909" t="s">
        <v>362</v>
      </c>
      <c r="D70" s="906">
        <v>2</v>
      </c>
      <c r="E70" s="916">
        <v>2</v>
      </c>
      <c r="F70" s="917" t="s">
        <v>349</v>
      </c>
    </row>
    <row r="71" spans="2:6" x14ac:dyDescent="0.25">
      <c r="B71" s="900"/>
      <c r="C71" s="898"/>
      <c r="D71" s="907"/>
      <c r="E71" s="899"/>
      <c r="F71" s="919"/>
    </row>
    <row r="72" spans="2:6" x14ac:dyDescent="0.25">
      <c r="B72" s="899" t="s">
        <v>363</v>
      </c>
      <c r="C72" s="898"/>
      <c r="D72" s="907"/>
      <c r="E72" s="899"/>
      <c r="F72" s="919"/>
    </row>
    <row r="73" spans="2:6" x14ac:dyDescent="0.25">
      <c r="B73" s="1308" t="s">
        <v>149</v>
      </c>
      <c r="C73" s="1305" t="s">
        <v>848</v>
      </c>
      <c r="D73" s="1306"/>
      <c r="E73" s="1306"/>
      <c r="F73" s="1306"/>
    </row>
    <row r="74" spans="2:6" x14ac:dyDescent="0.25">
      <c r="B74" s="1309"/>
      <c r="C74" s="902" t="s">
        <v>640</v>
      </c>
      <c r="D74" s="906">
        <v>2</v>
      </c>
      <c r="E74" s="916">
        <v>2</v>
      </c>
      <c r="F74" s="925" t="s">
        <v>349</v>
      </c>
    </row>
    <row r="75" spans="2:6" x14ac:dyDescent="0.25">
      <c r="B75" s="1310"/>
      <c r="C75" s="902" t="s">
        <v>641</v>
      </c>
      <c r="D75" s="906">
        <v>1</v>
      </c>
      <c r="E75" s="928">
        <v>1</v>
      </c>
      <c r="F75" s="929" t="s">
        <v>349</v>
      </c>
    </row>
    <row r="76" spans="2:6" x14ac:dyDescent="0.25">
      <c r="B76" s="904" t="s">
        <v>150</v>
      </c>
      <c r="C76" s="909" t="s">
        <v>849</v>
      </c>
      <c r="D76" s="906">
        <v>10</v>
      </c>
      <c r="E76" s="928">
        <v>10</v>
      </c>
      <c r="F76" s="929" t="s">
        <v>349</v>
      </c>
    </row>
    <row r="77" spans="2:6" x14ac:dyDescent="0.25">
      <c r="B77" s="900"/>
      <c r="C77" s="898"/>
      <c r="D77" s="907"/>
      <c r="E77" s="899"/>
      <c r="F77" s="919"/>
    </row>
    <row r="78" spans="2:6" x14ac:dyDescent="0.25">
      <c r="B78" s="899" t="s">
        <v>366</v>
      </c>
      <c r="C78" s="898"/>
      <c r="D78" s="907"/>
      <c r="E78" s="899"/>
      <c r="F78" s="919"/>
    </row>
    <row r="79" spans="2:6" x14ac:dyDescent="0.25">
      <c r="B79" s="904" t="s">
        <v>171</v>
      </c>
      <c r="C79" s="909" t="s">
        <v>367</v>
      </c>
      <c r="D79" s="906">
        <v>5</v>
      </c>
      <c r="E79" s="928">
        <v>1</v>
      </c>
      <c r="F79" s="929" t="s">
        <v>349</v>
      </c>
    </row>
    <row r="80" spans="2:6" x14ac:dyDescent="0.25">
      <c r="B80" s="904" t="s">
        <v>172</v>
      </c>
      <c r="C80" s="909" t="s">
        <v>368</v>
      </c>
      <c r="D80" s="906">
        <v>1</v>
      </c>
      <c r="E80" s="928">
        <v>1</v>
      </c>
      <c r="F80" s="929" t="s">
        <v>349</v>
      </c>
    </row>
    <row r="81" spans="2:6" x14ac:dyDescent="0.25">
      <c r="B81" s="904" t="s">
        <v>173</v>
      </c>
      <c r="C81" s="1305" t="s">
        <v>369</v>
      </c>
      <c r="D81" s="1306"/>
      <c r="E81" s="1306"/>
      <c r="F81" s="1306"/>
    </row>
    <row r="82" spans="2:6" x14ac:dyDescent="0.25">
      <c r="B82" s="904"/>
      <c r="C82" s="902" t="s">
        <v>646</v>
      </c>
      <c r="D82" s="906">
        <v>1</v>
      </c>
      <c r="E82" s="928">
        <v>1</v>
      </c>
      <c r="F82" s="929" t="s">
        <v>349</v>
      </c>
    </row>
    <row r="83" spans="2:6" x14ac:dyDescent="0.25">
      <c r="B83" s="904"/>
      <c r="C83" s="902" t="s">
        <v>647</v>
      </c>
      <c r="D83" s="906">
        <v>1</v>
      </c>
      <c r="E83" s="928">
        <v>1</v>
      </c>
      <c r="F83" s="929" t="s">
        <v>349</v>
      </c>
    </row>
    <row r="84" spans="2:6" x14ac:dyDescent="0.25">
      <c r="B84" s="904"/>
      <c r="C84" s="902" t="s">
        <v>648</v>
      </c>
      <c r="D84" s="906" t="s">
        <v>237</v>
      </c>
      <c r="E84" s="928" t="s">
        <v>237</v>
      </c>
      <c r="F84" s="929" t="s">
        <v>354</v>
      </c>
    </row>
    <row r="85" spans="2:6" x14ac:dyDescent="0.25">
      <c r="B85" s="904" t="s">
        <v>174</v>
      </c>
      <c r="C85" s="909" t="s">
        <v>370</v>
      </c>
      <c r="D85" s="906">
        <v>1</v>
      </c>
      <c r="E85" s="928">
        <v>1</v>
      </c>
      <c r="F85" s="929" t="s">
        <v>349</v>
      </c>
    </row>
    <row r="86" spans="2:6" x14ac:dyDescent="0.25">
      <c r="B86" s="900"/>
      <c r="C86" s="898"/>
      <c r="D86" s="907"/>
      <c r="E86" s="899"/>
      <c r="F86" s="919"/>
    </row>
    <row r="87" spans="2:6" x14ac:dyDescent="0.25">
      <c r="B87" s="899" t="s">
        <v>371</v>
      </c>
      <c r="C87" s="898"/>
      <c r="D87" s="907"/>
      <c r="E87" s="899"/>
      <c r="F87" s="919"/>
    </row>
    <row r="88" spans="2:6" x14ac:dyDescent="0.25">
      <c r="B88" s="904" t="s">
        <v>175</v>
      </c>
      <c r="C88" s="1305" t="s">
        <v>850</v>
      </c>
      <c r="D88" s="1306"/>
      <c r="E88" s="1306"/>
      <c r="F88" s="1307"/>
    </row>
    <row r="89" spans="2:6" x14ac:dyDescent="0.25">
      <c r="B89" s="904"/>
      <c r="C89" s="902" t="s">
        <v>650</v>
      </c>
      <c r="D89" s="906">
        <v>3</v>
      </c>
      <c r="E89" s="916">
        <v>3</v>
      </c>
      <c r="F89" s="917" t="s">
        <v>349</v>
      </c>
    </row>
    <row r="90" spans="2:6" x14ac:dyDescent="0.25">
      <c r="B90" s="904"/>
      <c r="C90" s="902" t="s">
        <v>651</v>
      </c>
      <c r="D90" s="906">
        <v>2</v>
      </c>
      <c r="E90" s="916">
        <v>2</v>
      </c>
      <c r="F90" s="917" t="s">
        <v>349</v>
      </c>
    </row>
    <row r="91" spans="2:6" x14ac:dyDescent="0.25">
      <c r="B91" s="904" t="s">
        <v>480</v>
      </c>
      <c r="C91" s="1305" t="s">
        <v>851</v>
      </c>
      <c r="D91" s="1306"/>
      <c r="E91" s="1306"/>
      <c r="F91" s="1307"/>
    </row>
    <row r="92" spans="2:6" x14ac:dyDescent="0.25">
      <c r="B92" s="904"/>
      <c r="C92" s="902" t="s">
        <v>653</v>
      </c>
      <c r="D92" s="906">
        <v>1</v>
      </c>
      <c r="E92" s="916">
        <v>1</v>
      </c>
      <c r="F92" s="917" t="s">
        <v>349</v>
      </c>
    </row>
    <row r="93" spans="2:6" x14ac:dyDescent="0.25">
      <c r="B93" s="904"/>
      <c r="C93" s="902" t="s">
        <v>654</v>
      </c>
      <c r="D93" s="906">
        <v>2</v>
      </c>
      <c r="E93" s="916">
        <v>1</v>
      </c>
      <c r="F93" s="917" t="s">
        <v>349</v>
      </c>
    </row>
    <row r="94" spans="2:6" x14ac:dyDescent="0.25">
      <c r="B94" s="904" t="s">
        <v>176</v>
      </c>
      <c r="C94" s="1305" t="s">
        <v>852</v>
      </c>
      <c r="D94" s="1306"/>
      <c r="E94" s="1306"/>
      <c r="F94" s="1307"/>
    </row>
    <row r="95" spans="2:6" x14ac:dyDescent="0.25">
      <c r="B95" s="904"/>
      <c r="C95" s="902" t="s">
        <v>656</v>
      </c>
      <c r="D95" s="906">
        <v>1</v>
      </c>
      <c r="E95" s="916">
        <v>1</v>
      </c>
      <c r="F95" s="917" t="s">
        <v>349</v>
      </c>
    </row>
    <row r="96" spans="2:6" x14ac:dyDescent="0.25">
      <c r="B96" s="904"/>
      <c r="C96" s="902" t="s">
        <v>657</v>
      </c>
      <c r="D96" s="906">
        <v>2</v>
      </c>
      <c r="E96" s="916">
        <v>1</v>
      </c>
      <c r="F96" s="917" t="s">
        <v>349</v>
      </c>
    </row>
    <row r="97" spans="2:6" x14ac:dyDescent="0.25">
      <c r="B97" s="904" t="s">
        <v>177</v>
      </c>
      <c r="C97" s="1305" t="s">
        <v>372</v>
      </c>
      <c r="D97" s="1306"/>
      <c r="E97" s="1306"/>
      <c r="F97" s="1307"/>
    </row>
    <row r="98" spans="2:6" x14ac:dyDescent="0.25">
      <c r="B98" s="908"/>
      <c r="C98" s="902" t="s">
        <v>659</v>
      </c>
      <c r="D98" s="906">
        <v>1</v>
      </c>
      <c r="E98" s="916">
        <v>1</v>
      </c>
      <c r="F98" s="917" t="s">
        <v>349</v>
      </c>
    </row>
    <row r="99" spans="2:6" x14ac:dyDescent="0.25">
      <c r="B99" s="908"/>
      <c r="C99" s="902" t="s">
        <v>660</v>
      </c>
      <c r="D99" s="906">
        <v>1</v>
      </c>
      <c r="E99" s="916" t="s">
        <v>237</v>
      </c>
      <c r="F99" s="917" t="s">
        <v>354</v>
      </c>
    </row>
    <row r="100" spans="2:6" x14ac:dyDescent="0.25">
      <c r="B100" s="908"/>
      <c r="C100" s="902" t="s">
        <v>661</v>
      </c>
      <c r="D100" s="906">
        <v>2</v>
      </c>
      <c r="E100" s="916">
        <v>2</v>
      </c>
      <c r="F100" s="917" t="s">
        <v>349</v>
      </c>
    </row>
    <row r="101" spans="2:6" x14ac:dyDescent="0.25">
      <c r="B101" s="904" t="s">
        <v>178</v>
      </c>
      <c r="C101" s="1305" t="s">
        <v>663</v>
      </c>
      <c r="D101" s="1306"/>
      <c r="E101" s="1306"/>
      <c r="F101" s="1307"/>
    </row>
    <row r="102" spans="2:6" x14ac:dyDescent="0.25">
      <c r="B102" s="908"/>
      <c r="C102" s="902" t="s">
        <v>662</v>
      </c>
      <c r="D102" s="906">
        <v>1</v>
      </c>
      <c r="E102" s="916">
        <v>1</v>
      </c>
      <c r="F102" s="917" t="s">
        <v>349</v>
      </c>
    </row>
    <row r="103" spans="2:6" x14ac:dyDescent="0.25">
      <c r="B103" s="908"/>
      <c r="C103" s="902" t="s">
        <v>663</v>
      </c>
      <c r="D103" s="906">
        <v>1</v>
      </c>
      <c r="E103" s="916">
        <v>1</v>
      </c>
      <c r="F103" s="917" t="s">
        <v>349</v>
      </c>
    </row>
    <row r="104" spans="2:6" x14ac:dyDescent="0.25">
      <c r="B104" s="908"/>
      <c r="C104" s="902" t="s">
        <v>664</v>
      </c>
      <c r="D104" s="906">
        <v>2</v>
      </c>
      <c r="E104" s="916">
        <v>2</v>
      </c>
      <c r="F104" s="917" t="s">
        <v>349</v>
      </c>
    </row>
    <row r="105" spans="2:6" x14ac:dyDescent="0.25">
      <c r="B105" s="904" t="s">
        <v>481</v>
      </c>
      <c r="C105" s="1305" t="s">
        <v>853</v>
      </c>
      <c r="D105" s="1306"/>
      <c r="E105" s="1306"/>
      <c r="F105" s="1307"/>
    </row>
    <row r="106" spans="2:6" x14ac:dyDescent="0.25">
      <c r="B106" s="908"/>
      <c r="C106" s="902" t="s">
        <v>665</v>
      </c>
      <c r="D106" s="906">
        <v>1</v>
      </c>
      <c r="E106" s="916">
        <v>1</v>
      </c>
      <c r="F106" s="917" t="s">
        <v>349</v>
      </c>
    </row>
    <row r="107" spans="2:6" x14ac:dyDescent="0.25">
      <c r="B107" s="908"/>
      <c r="C107" s="902" t="s">
        <v>666</v>
      </c>
      <c r="D107" s="906">
        <v>1</v>
      </c>
      <c r="E107" s="916">
        <v>1</v>
      </c>
      <c r="F107" s="917" t="s">
        <v>349</v>
      </c>
    </row>
    <row r="108" spans="2:6" x14ac:dyDescent="0.25">
      <c r="B108" s="908"/>
      <c r="C108" s="902" t="s">
        <v>854</v>
      </c>
      <c r="D108" s="906">
        <v>2</v>
      </c>
      <c r="E108" s="916">
        <v>2</v>
      </c>
      <c r="F108" s="917" t="s">
        <v>349</v>
      </c>
    </row>
    <row r="109" spans="2:6" x14ac:dyDescent="0.25">
      <c r="B109" s="899" t="s">
        <v>373</v>
      </c>
      <c r="C109" s="898"/>
      <c r="D109" s="907"/>
      <c r="E109" s="899"/>
      <c r="F109" s="919"/>
    </row>
    <row r="110" spans="2:6" x14ac:dyDescent="0.25">
      <c r="B110" s="912" t="s">
        <v>179</v>
      </c>
      <c r="C110" s="1330" t="s">
        <v>374</v>
      </c>
      <c r="D110" s="1328"/>
      <c r="E110" s="1328"/>
      <c r="F110" s="1329"/>
    </row>
    <row r="111" spans="2:6" x14ac:dyDescent="0.25">
      <c r="B111" s="904"/>
      <c r="C111" s="902" t="s">
        <v>668</v>
      </c>
      <c r="D111" s="906">
        <v>1</v>
      </c>
      <c r="E111" s="916">
        <v>1</v>
      </c>
      <c r="F111" s="917" t="s">
        <v>349</v>
      </c>
    </row>
    <row r="112" spans="2:6" x14ac:dyDescent="0.25">
      <c r="B112" s="904"/>
      <c r="C112" s="902" t="s">
        <v>669</v>
      </c>
      <c r="D112" s="906">
        <v>2</v>
      </c>
      <c r="E112" s="916">
        <v>2</v>
      </c>
      <c r="F112" s="917" t="s">
        <v>349</v>
      </c>
    </row>
    <row r="113" spans="2:6" x14ac:dyDescent="0.25">
      <c r="B113" s="904"/>
      <c r="C113" s="902" t="s">
        <v>670</v>
      </c>
      <c r="D113" s="906">
        <v>2</v>
      </c>
      <c r="E113" s="916">
        <v>2</v>
      </c>
      <c r="F113" s="917" t="s">
        <v>349</v>
      </c>
    </row>
    <row r="114" spans="2:6" x14ac:dyDescent="0.25">
      <c r="B114" s="912" t="s">
        <v>375</v>
      </c>
      <c r="C114" s="909" t="s">
        <v>376</v>
      </c>
      <c r="D114" s="906">
        <v>1</v>
      </c>
      <c r="E114" s="916">
        <v>1</v>
      </c>
      <c r="F114" s="917" t="s">
        <v>349</v>
      </c>
    </row>
    <row r="115" spans="2:6" x14ac:dyDescent="0.25">
      <c r="B115" s="912" t="s">
        <v>377</v>
      </c>
      <c r="C115" s="909" t="s">
        <v>376</v>
      </c>
      <c r="D115" s="906" t="s">
        <v>237</v>
      </c>
      <c r="E115" s="916" t="s">
        <v>237</v>
      </c>
      <c r="F115" s="917" t="s">
        <v>354</v>
      </c>
    </row>
    <row r="116" spans="2:6" x14ac:dyDescent="0.25">
      <c r="B116" s="912" t="s">
        <v>181</v>
      </c>
      <c r="C116" s="909" t="s">
        <v>378</v>
      </c>
      <c r="D116" s="906">
        <v>1</v>
      </c>
      <c r="E116" s="916">
        <v>1</v>
      </c>
      <c r="F116" s="917" t="s">
        <v>354</v>
      </c>
    </row>
    <row r="117" spans="2:6" x14ac:dyDescent="0.25">
      <c r="B117" s="900"/>
      <c r="C117" s="898"/>
      <c r="D117" s="907"/>
      <c r="E117" s="899"/>
      <c r="F117" s="919"/>
    </row>
    <row r="118" spans="2:6" x14ac:dyDescent="0.25">
      <c r="B118" s="899" t="s">
        <v>379</v>
      </c>
      <c r="C118" s="898"/>
      <c r="D118" s="907"/>
      <c r="E118" s="899"/>
      <c r="F118" s="919"/>
    </row>
    <row r="119" spans="2:6" x14ac:dyDescent="0.25">
      <c r="B119" s="912" t="s">
        <v>182</v>
      </c>
      <c r="C119" s="909" t="s">
        <v>380</v>
      </c>
      <c r="D119" s="906" t="s">
        <v>237</v>
      </c>
      <c r="E119" s="916" t="s">
        <v>237</v>
      </c>
      <c r="F119" s="917" t="s">
        <v>354</v>
      </c>
    </row>
    <row r="120" spans="2:6" x14ac:dyDescent="0.25">
      <c r="B120" s="912" t="s">
        <v>183</v>
      </c>
      <c r="C120" s="1305" t="s">
        <v>855</v>
      </c>
      <c r="D120" s="1306"/>
      <c r="E120" s="1306"/>
      <c r="F120" s="1307"/>
    </row>
    <row r="121" spans="2:6" x14ac:dyDescent="0.25">
      <c r="B121" s="904"/>
      <c r="C121" s="902" t="s">
        <v>676</v>
      </c>
      <c r="D121" s="906">
        <v>1</v>
      </c>
      <c r="E121" s="916">
        <v>1</v>
      </c>
      <c r="F121" s="917" t="s">
        <v>349</v>
      </c>
    </row>
    <row r="122" spans="2:6" x14ac:dyDescent="0.25">
      <c r="B122" s="904"/>
      <c r="C122" s="902" t="s">
        <v>677</v>
      </c>
      <c r="D122" s="906">
        <v>1</v>
      </c>
      <c r="E122" s="916">
        <v>1</v>
      </c>
      <c r="F122" s="917" t="s">
        <v>349</v>
      </c>
    </row>
    <row r="123" spans="2:6" x14ac:dyDescent="0.25">
      <c r="B123" s="912" t="s">
        <v>856</v>
      </c>
      <c r="C123" s="1330" t="s">
        <v>857</v>
      </c>
      <c r="D123" s="1328"/>
      <c r="E123" s="1328"/>
      <c r="F123" s="1329"/>
    </row>
    <row r="124" spans="2:6" x14ac:dyDescent="0.25">
      <c r="B124" s="904"/>
      <c r="C124" s="902" t="s">
        <v>679</v>
      </c>
      <c r="D124" s="906">
        <v>1</v>
      </c>
      <c r="E124" s="916">
        <v>1</v>
      </c>
      <c r="F124" s="917" t="s">
        <v>349</v>
      </c>
    </row>
    <row r="125" spans="2:6" x14ac:dyDescent="0.25">
      <c r="B125" s="904"/>
      <c r="C125" s="902" t="s">
        <v>680</v>
      </c>
      <c r="D125" s="906">
        <v>2</v>
      </c>
      <c r="E125" s="916">
        <v>1</v>
      </c>
      <c r="F125" s="917" t="s">
        <v>349</v>
      </c>
    </row>
    <row r="126" spans="2:6" x14ac:dyDescent="0.25">
      <c r="B126" s="912" t="s">
        <v>184</v>
      </c>
      <c r="C126" s="1305" t="s">
        <v>858</v>
      </c>
      <c r="D126" s="1306"/>
      <c r="E126" s="1306"/>
      <c r="F126" s="1307"/>
    </row>
    <row r="127" spans="2:6" x14ac:dyDescent="0.25">
      <c r="B127" s="904"/>
      <c r="C127" s="902" t="s">
        <v>682</v>
      </c>
      <c r="D127" s="906">
        <v>1</v>
      </c>
      <c r="E127" s="916">
        <v>1</v>
      </c>
      <c r="F127" s="917" t="s">
        <v>349</v>
      </c>
    </row>
    <row r="128" spans="2:6" x14ac:dyDescent="0.25">
      <c r="B128" s="904"/>
      <c r="C128" s="902" t="s">
        <v>683</v>
      </c>
      <c r="D128" s="906">
        <v>3</v>
      </c>
      <c r="E128" s="916">
        <v>3</v>
      </c>
      <c r="F128" s="917" t="s">
        <v>349</v>
      </c>
    </row>
    <row r="129" spans="2:6" x14ac:dyDescent="0.25">
      <c r="B129" s="912" t="s">
        <v>185</v>
      </c>
      <c r="C129" s="1305" t="s">
        <v>381</v>
      </c>
      <c r="D129" s="1306"/>
      <c r="E129" s="1306"/>
      <c r="F129" s="1307"/>
    </row>
    <row r="130" spans="2:6" x14ac:dyDescent="0.25">
      <c r="B130" s="904"/>
      <c r="C130" s="902" t="s">
        <v>685</v>
      </c>
      <c r="D130" s="906">
        <v>1</v>
      </c>
      <c r="E130" s="916">
        <v>1</v>
      </c>
      <c r="F130" s="917" t="s">
        <v>349</v>
      </c>
    </row>
    <row r="131" spans="2:6" x14ac:dyDescent="0.25">
      <c r="B131" s="904"/>
      <c r="C131" s="902" t="s">
        <v>686</v>
      </c>
      <c r="D131" s="906">
        <v>1</v>
      </c>
      <c r="E131" s="916">
        <v>1</v>
      </c>
      <c r="F131" s="917" t="s">
        <v>349</v>
      </c>
    </row>
    <row r="132" spans="2:6" x14ac:dyDescent="0.25">
      <c r="B132" s="912" t="s">
        <v>186</v>
      </c>
      <c r="C132" s="909" t="s">
        <v>859</v>
      </c>
      <c r="D132" s="906">
        <v>1</v>
      </c>
      <c r="E132" s="916" t="s">
        <v>237</v>
      </c>
      <c r="F132" s="917" t="s">
        <v>354</v>
      </c>
    </row>
    <row r="133" spans="2:6" x14ac:dyDescent="0.25">
      <c r="B133" s="913" t="s">
        <v>860</v>
      </c>
      <c r="C133" s="914" t="s">
        <v>861</v>
      </c>
      <c r="D133" s="906">
        <v>2</v>
      </c>
      <c r="E133" s="916">
        <v>2</v>
      </c>
      <c r="F133" s="917" t="s">
        <v>349</v>
      </c>
    </row>
    <row r="134" spans="2:6" x14ac:dyDescent="0.25">
      <c r="B134" s="913" t="s">
        <v>862</v>
      </c>
      <c r="C134" s="1328" t="s">
        <v>863</v>
      </c>
      <c r="D134" s="1328"/>
      <c r="E134" s="1328"/>
      <c r="F134" s="1329"/>
    </row>
    <row r="135" spans="2:6" x14ac:dyDescent="0.25">
      <c r="B135" s="908"/>
      <c r="C135" s="902" t="s">
        <v>691</v>
      </c>
      <c r="D135" s="906">
        <v>1</v>
      </c>
      <c r="E135" s="916">
        <v>1</v>
      </c>
      <c r="F135" s="917" t="s">
        <v>349</v>
      </c>
    </row>
    <row r="136" spans="2:6" x14ac:dyDescent="0.25">
      <c r="B136" s="908"/>
      <c r="C136" s="902" t="s">
        <v>692</v>
      </c>
      <c r="D136" s="906">
        <v>1</v>
      </c>
      <c r="E136" s="916">
        <v>1</v>
      </c>
      <c r="F136" s="917" t="s">
        <v>349</v>
      </c>
    </row>
    <row r="137" spans="2:6" x14ac:dyDescent="0.25">
      <c r="B137" s="908"/>
      <c r="C137" s="910"/>
      <c r="D137" s="911"/>
      <c r="E137" s="930"/>
      <c r="F137" s="919"/>
    </row>
    <row r="138" spans="2:6" x14ac:dyDescent="0.25">
      <c r="B138" s="899" t="s">
        <v>382</v>
      </c>
      <c r="C138" s="898"/>
      <c r="D138" s="907"/>
      <c r="E138" s="899"/>
      <c r="F138" s="919"/>
    </row>
    <row r="139" spans="2:6" x14ac:dyDescent="0.25">
      <c r="B139" s="912" t="s">
        <v>383</v>
      </c>
      <c r="C139" s="909" t="s">
        <v>384</v>
      </c>
      <c r="D139" s="906">
        <v>3</v>
      </c>
      <c r="E139" s="916">
        <v>3</v>
      </c>
      <c r="F139" s="917" t="s">
        <v>349</v>
      </c>
    </row>
    <row r="140" spans="2:6" x14ac:dyDescent="0.25">
      <c r="B140" s="912" t="s">
        <v>385</v>
      </c>
      <c r="C140" s="909" t="s">
        <v>864</v>
      </c>
      <c r="D140" s="906">
        <v>2</v>
      </c>
      <c r="E140" s="916">
        <v>2</v>
      </c>
      <c r="F140" s="917" t="s">
        <v>349</v>
      </c>
    </row>
    <row r="141" spans="2:6" x14ac:dyDescent="0.25">
      <c r="B141" s="912" t="s">
        <v>387</v>
      </c>
      <c r="C141" s="909" t="s">
        <v>388</v>
      </c>
      <c r="D141" s="906">
        <v>1</v>
      </c>
      <c r="E141" s="916">
        <v>1</v>
      </c>
      <c r="F141" s="917" t="s">
        <v>349</v>
      </c>
    </row>
    <row r="142" spans="2:6" x14ac:dyDescent="0.25">
      <c r="B142" s="912" t="s">
        <v>389</v>
      </c>
      <c r="C142" s="909" t="s">
        <v>390</v>
      </c>
      <c r="D142" s="906">
        <v>1</v>
      </c>
      <c r="E142" s="916">
        <v>1</v>
      </c>
      <c r="F142" s="917" t="s">
        <v>349</v>
      </c>
    </row>
    <row r="143" spans="2:6" x14ac:dyDescent="0.25">
      <c r="B143" s="900"/>
      <c r="C143" s="898"/>
      <c r="D143" s="907"/>
      <c r="E143" s="899"/>
      <c r="F143" s="919"/>
    </row>
    <row r="144" spans="2:6" x14ac:dyDescent="0.25">
      <c r="B144" s="899" t="s">
        <v>391</v>
      </c>
      <c r="C144" s="898"/>
      <c r="D144" s="907"/>
      <c r="E144" s="899"/>
      <c r="F144" s="919"/>
    </row>
    <row r="145" spans="2:6" x14ac:dyDescent="0.25">
      <c r="B145" s="904" t="s">
        <v>550</v>
      </c>
      <c r="C145" s="902" t="s">
        <v>865</v>
      </c>
      <c r="D145" s="906">
        <v>1</v>
      </c>
      <c r="E145" s="916">
        <v>1</v>
      </c>
      <c r="F145" s="917" t="s">
        <v>349</v>
      </c>
    </row>
    <row r="146" spans="2:6" x14ac:dyDescent="0.25">
      <c r="B146" s="904" t="s">
        <v>866</v>
      </c>
      <c r="C146" s="902" t="s">
        <v>867</v>
      </c>
      <c r="D146" s="906">
        <v>1</v>
      </c>
      <c r="E146" s="916">
        <v>1</v>
      </c>
      <c r="F146" s="917" t="s">
        <v>349</v>
      </c>
    </row>
    <row r="147" spans="2:6" x14ac:dyDescent="0.25">
      <c r="B147" s="904" t="s">
        <v>866</v>
      </c>
      <c r="C147" s="902" t="s">
        <v>868</v>
      </c>
      <c r="D147" s="906">
        <v>1</v>
      </c>
      <c r="E147" s="916">
        <v>1</v>
      </c>
      <c r="F147" s="917" t="s">
        <v>349</v>
      </c>
    </row>
    <row r="148" spans="2:6" x14ac:dyDescent="0.25">
      <c r="B148" s="904" t="s">
        <v>544</v>
      </c>
      <c r="C148" s="902" t="s">
        <v>869</v>
      </c>
      <c r="D148" s="906">
        <v>1</v>
      </c>
      <c r="E148" s="916">
        <v>1</v>
      </c>
      <c r="F148" s="917" t="s">
        <v>354</v>
      </c>
    </row>
    <row r="149" spans="2:6" x14ac:dyDescent="0.25">
      <c r="B149" s="904" t="s">
        <v>575</v>
      </c>
      <c r="C149" s="902" t="s">
        <v>870</v>
      </c>
      <c r="D149" s="906">
        <v>1</v>
      </c>
      <c r="E149" s="916">
        <v>1</v>
      </c>
      <c r="F149" s="917" t="s">
        <v>349</v>
      </c>
    </row>
    <row r="150" spans="2:6" x14ac:dyDescent="0.25">
      <c r="B150" s="904" t="s">
        <v>575</v>
      </c>
      <c r="C150" s="902" t="s">
        <v>871</v>
      </c>
      <c r="D150" s="906">
        <v>1</v>
      </c>
      <c r="E150" s="916">
        <v>1</v>
      </c>
      <c r="F150" s="917" t="s">
        <v>349</v>
      </c>
    </row>
    <row r="151" spans="2:6" x14ac:dyDescent="0.25">
      <c r="B151" s="904" t="s">
        <v>872</v>
      </c>
      <c r="C151" s="902" t="s">
        <v>873</v>
      </c>
      <c r="D151" s="906">
        <v>1</v>
      </c>
      <c r="E151" s="916">
        <v>1</v>
      </c>
      <c r="F151" s="917" t="s">
        <v>349</v>
      </c>
    </row>
    <row r="152" spans="2:6" x14ac:dyDescent="0.25">
      <c r="B152" s="904" t="s">
        <v>4</v>
      </c>
      <c r="C152" s="902" t="s">
        <v>874</v>
      </c>
      <c r="D152" s="906">
        <v>1</v>
      </c>
      <c r="E152" s="916">
        <v>1</v>
      </c>
      <c r="F152" s="917" t="s">
        <v>349</v>
      </c>
    </row>
    <row r="153" spans="2:6" x14ac:dyDescent="0.25">
      <c r="B153" s="904" t="s">
        <v>553</v>
      </c>
      <c r="C153" s="902" t="s">
        <v>875</v>
      </c>
      <c r="D153" s="906">
        <v>1</v>
      </c>
      <c r="E153" s="916">
        <v>1</v>
      </c>
      <c r="F153" s="917" t="s">
        <v>349</v>
      </c>
    </row>
    <row r="154" spans="2:6" x14ac:dyDescent="0.25">
      <c r="B154" s="895" t="s">
        <v>555</v>
      </c>
      <c r="C154" s="902" t="s">
        <v>876</v>
      </c>
      <c r="D154" s="906">
        <v>1</v>
      </c>
      <c r="E154" s="916">
        <v>1</v>
      </c>
      <c r="F154" s="917" t="s">
        <v>349</v>
      </c>
    </row>
    <row r="155" spans="2:6" x14ac:dyDescent="0.25">
      <c r="B155" s="895" t="s">
        <v>877</v>
      </c>
      <c r="C155" s="902" t="s">
        <v>878</v>
      </c>
      <c r="D155" s="906">
        <v>1</v>
      </c>
      <c r="E155" s="916">
        <v>1</v>
      </c>
      <c r="F155" s="917" t="s">
        <v>349</v>
      </c>
    </row>
    <row r="156" spans="2:6" x14ac:dyDescent="0.25">
      <c r="B156" s="895" t="s">
        <v>879</v>
      </c>
      <c r="C156" s="902" t="s">
        <v>880</v>
      </c>
      <c r="D156" s="906">
        <v>1</v>
      </c>
      <c r="E156" s="916">
        <v>1</v>
      </c>
      <c r="F156" s="917" t="s">
        <v>349</v>
      </c>
    </row>
    <row r="157" spans="2:6" x14ac:dyDescent="0.25">
      <c r="B157" s="895" t="s">
        <v>881</v>
      </c>
      <c r="C157" s="902" t="s">
        <v>882</v>
      </c>
      <c r="D157" s="906">
        <v>1</v>
      </c>
      <c r="E157" s="916" t="s">
        <v>237</v>
      </c>
      <c r="F157" s="917" t="s">
        <v>354</v>
      </c>
    </row>
    <row r="158" spans="2:6" x14ac:dyDescent="0.25">
      <c r="B158" s="895" t="s">
        <v>862</v>
      </c>
      <c r="C158" s="902" t="s">
        <v>883</v>
      </c>
      <c r="D158" s="906">
        <v>1</v>
      </c>
      <c r="E158" s="916">
        <v>1</v>
      </c>
      <c r="F158" s="917" t="s">
        <v>349</v>
      </c>
    </row>
  </sheetData>
  <mergeCells count="48">
    <mergeCell ref="C129:F129"/>
    <mergeCell ref="C134:F134"/>
    <mergeCell ref="C105:F105"/>
    <mergeCell ref="C110:F110"/>
    <mergeCell ref="C123:F123"/>
    <mergeCell ref="C120:F120"/>
    <mergeCell ref="C126:F126"/>
    <mergeCell ref="B39:B42"/>
    <mergeCell ref="B44:B46"/>
    <mergeCell ref="B50:B55"/>
    <mergeCell ref="B56:B59"/>
    <mergeCell ref="B67:B69"/>
    <mergeCell ref="B35:B38"/>
    <mergeCell ref="B3:B5"/>
    <mergeCell ref="F3:F5"/>
    <mergeCell ref="D3:D5"/>
    <mergeCell ref="C3:C5"/>
    <mergeCell ref="B29:B34"/>
    <mergeCell ref="E3:E5"/>
    <mergeCell ref="B7:B11"/>
    <mergeCell ref="B12:B14"/>
    <mergeCell ref="B15:B19"/>
    <mergeCell ref="B20:B23"/>
    <mergeCell ref="B24:B27"/>
    <mergeCell ref="C15:F15"/>
    <mergeCell ref="C12:F12"/>
    <mergeCell ref="C7:F7"/>
    <mergeCell ref="C20:F20"/>
    <mergeCell ref="C24:F24"/>
    <mergeCell ref="C29:F29"/>
    <mergeCell ref="C35:F35"/>
    <mergeCell ref="C39:F39"/>
    <mergeCell ref="C44:F44"/>
    <mergeCell ref="C50:F50"/>
    <mergeCell ref="C56:F56"/>
    <mergeCell ref="B61:B63"/>
    <mergeCell ref="C61:F61"/>
    <mergeCell ref="C64:F64"/>
    <mergeCell ref="C67:F67"/>
    <mergeCell ref="B64:B66"/>
    <mergeCell ref="B73:B75"/>
    <mergeCell ref="C73:F73"/>
    <mergeCell ref="C81:F81"/>
    <mergeCell ref="C88:F88"/>
    <mergeCell ref="C91:F91"/>
    <mergeCell ref="C94:F94"/>
    <mergeCell ref="C97:F97"/>
    <mergeCell ref="C101:F10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302"/>
  <sheetViews>
    <sheetView zoomScale="90" zoomScaleNormal="90" workbookViewId="0">
      <selection activeCell="S2" sqref="A2:S3"/>
    </sheetView>
  </sheetViews>
  <sheetFormatPr defaultColWidth="8.85546875" defaultRowHeight="15" x14ac:dyDescent="0.25"/>
  <cols>
    <col min="1" max="1" width="13.5703125" customWidth="1"/>
    <col min="2" max="2" width="7.28515625" style="367" customWidth="1"/>
    <col min="3" max="3" width="60.28515625" bestFit="1" customWidth="1"/>
    <col min="4" max="4" width="19.85546875" hidden="1" customWidth="1"/>
    <col min="5" max="5" width="27.140625" hidden="1" customWidth="1"/>
    <col min="6" max="6" width="22.5703125" style="30" hidden="1" customWidth="1"/>
    <col min="7" max="7" width="8.85546875" customWidth="1"/>
    <col min="8" max="8" width="11.140625" customWidth="1"/>
    <col min="9" max="16" width="8.85546875" customWidth="1"/>
    <col min="17" max="17" width="8.85546875" style="995" customWidth="1"/>
    <col min="18" max="18" width="8.85546875" customWidth="1"/>
    <col min="19" max="19" width="20.140625" customWidth="1"/>
    <col min="20" max="20" width="45.85546875" customWidth="1"/>
    <col min="21" max="21" width="46.28515625" customWidth="1"/>
    <col min="22" max="22" width="36.140625" customWidth="1"/>
    <col min="23" max="30" width="8.85546875" customWidth="1"/>
  </cols>
  <sheetData>
    <row r="1" spans="1:31" s="30" customFormat="1" ht="15.75" thickBot="1" x14ac:dyDescent="0.3">
      <c r="A1" s="30">
        <v>1</v>
      </c>
      <c r="B1" s="367">
        <v>2</v>
      </c>
      <c r="C1" s="30">
        <v>3</v>
      </c>
      <c r="D1" s="30">
        <v>4</v>
      </c>
      <c r="E1" s="30">
        <v>5</v>
      </c>
      <c r="F1" s="30">
        <v>6</v>
      </c>
      <c r="G1" s="30">
        <v>7</v>
      </c>
      <c r="H1" s="30">
        <v>8</v>
      </c>
      <c r="Q1" s="995"/>
    </row>
    <row r="2" spans="1:31" s="30" customFormat="1" ht="15.75" thickBot="1" x14ac:dyDescent="0.3">
      <c r="B2" s="367"/>
      <c r="C2" s="68" t="s">
        <v>254</v>
      </c>
      <c r="D2" s="68"/>
      <c r="E2" s="68"/>
      <c r="F2" s="68"/>
      <c r="G2" s="68"/>
      <c r="H2" s="363" t="s">
        <v>337</v>
      </c>
      <c r="I2" s="344" t="s">
        <v>14</v>
      </c>
      <c r="J2" s="30" t="s">
        <v>13</v>
      </c>
      <c r="Q2" s="995"/>
    </row>
    <row r="3" spans="1:31" s="30" customFormat="1" ht="15.75" thickBot="1" x14ac:dyDescent="0.3">
      <c r="B3" s="367"/>
      <c r="Q3" s="995"/>
      <c r="S3" s="30" t="s">
        <v>394</v>
      </c>
    </row>
    <row r="4" spans="1:31" s="30" customFormat="1" ht="15.75" thickBot="1" x14ac:dyDescent="0.3">
      <c r="B4" s="367"/>
      <c r="Q4" s="995"/>
      <c r="S4" s="359" t="s">
        <v>344</v>
      </c>
      <c r="T4" s="360" t="s">
        <v>345</v>
      </c>
      <c r="U4" s="360" t="s">
        <v>346</v>
      </c>
      <c r="V4" s="361"/>
      <c r="W4"/>
    </row>
    <row r="5" spans="1:31" ht="15.75" thickBot="1" x14ac:dyDescent="0.3">
      <c r="C5" s="58" t="s">
        <v>88</v>
      </c>
      <c r="D5" s="61" t="s">
        <v>250</v>
      </c>
      <c r="E5" s="66" t="s">
        <v>253</v>
      </c>
      <c r="F5" s="61" t="s">
        <v>216</v>
      </c>
      <c r="H5" s="362" t="s">
        <v>392</v>
      </c>
      <c r="N5" s="1332" t="s">
        <v>393</v>
      </c>
      <c r="O5" s="1332"/>
      <c r="S5" s="997" t="s">
        <v>348</v>
      </c>
      <c r="T5" s="997"/>
      <c r="U5" s="1006"/>
      <c r="V5" s="997"/>
      <c r="W5" s="998"/>
      <c r="X5" s="1039"/>
      <c r="Y5" s="1039"/>
      <c r="Z5" s="1039"/>
      <c r="AA5" s="1039"/>
      <c r="AB5" s="1039"/>
      <c r="AC5" s="1039"/>
      <c r="AD5" s="1039"/>
    </row>
    <row r="6" spans="1:31" ht="15.75" thickBot="1" x14ac:dyDescent="0.3">
      <c r="B6" s="151"/>
      <c r="C6" s="152" t="s">
        <v>64</v>
      </c>
      <c r="D6" s="65"/>
      <c r="E6" s="65"/>
      <c r="F6" s="65"/>
      <c r="H6" s="152"/>
      <c r="N6" s="349" t="s">
        <v>348</v>
      </c>
      <c r="O6" t="b">
        <f>N6=S5</f>
        <v>1</v>
      </c>
      <c r="S6" s="1327" t="s">
        <v>94</v>
      </c>
      <c r="T6" s="1041" t="s">
        <v>837</v>
      </c>
      <c r="W6" s="1059"/>
      <c r="X6" s="1039"/>
      <c r="Y6" s="1039"/>
      <c r="Z6" s="1039"/>
      <c r="AA6" s="1039"/>
      <c r="AB6" s="1039"/>
      <c r="AC6" s="1039"/>
      <c r="AD6" s="1039"/>
    </row>
    <row r="7" spans="1:31" x14ac:dyDescent="0.25">
      <c r="A7" s="137" t="s">
        <v>94</v>
      </c>
      <c r="B7" s="845" t="s">
        <v>94</v>
      </c>
      <c r="C7" s="845" t="s">
        <v>308</v>
      </c>
      <c r="D7" s="52">
        <f>Poeng!S10</f>
        <v>5</v>
      </c>
      <c r="E7" s="51"/>
      <c r="F7" s="52">
        <f>Poeng!AA10</f>
        <v>5</v>
      </c>
      <c r="H7" s="933">
        <f>SUMIF($R$7:$R$182,A7,$U$7:$U$182)</f>
        <v>0</v>
      </c>
      <c r="I7" s="365" t="str">
        <f>IF(F7=H7,"OK","FEIL")</f>
        <v>FEIL</v>
      </c>
      <c r="N7" s="353" t="s">
        <v>94</v>
      </c>
      <c r="O7" s="348" t="b">
        <f>N7=S6</f>
        <v>1</v>
      </c>
      <c r="R7" s="995" t="s">
        <v>715</v>
      </c>
      <c r="S7" s="1327"/>
      <c r="T7" s="1123" t="s">
        <v>593</v>
      </c>
      <c r="U7" s="1062">
        <v>1</v>
      </c>
      <c r="V7" s="1072" t="s">
        <v>349</v>
      </c>
      <c r="W7" s="1059"/>
      <c r="X7" s="1039"/>
      <c r="Y7" s="1039"/>
      <c r="Z7" s="1039"/>
      <c r="AA7" s="1039"/>
      <c r="AB7" s="1039"/>
      <c r="AC7" s="1039"/>
      <c r="AD7" s="1039"/>
    </row>
    <row r="8" spans="1:31" x14ac:dyDescent="0.25">
      <c r="A8" s="96" t="s">
        <v>715</v>
      </c>
      <c r="B8" s="167" t="s">
        <v>696</v>
      </c>
      <c r="C8" s="1122" t="s">
        <v>593</v>
      </c>
      <c r="D8" s="50">
        <f>Poeng!S16</f>
        <v>3</v>
      </c>
      <c r="E8" s="49"/>
      <c r="F8" s="52">
        <f>Poeng!AA16</f>
        <v>3</v>
      </c>
      <c r="H8" s="165">
        <f t="shared" ref="H8:H36" si="0">SUMIF($R$7:$R$182,A8,$U$7:$U$182)</f>
        <v>1</v>
      </c>
      <c r="I8" s="365" t="str">
        <f t="shared" ref="I8:I36" si="1">IF(F8=H8,"OK","FEIL")</f>
        <v>FEIL</v>
      </c>
      <c r="N8" s="353" t="s">
        <v>95</v>
      </c>
      <c r="O8" s="348" t="b">
        <f t="shared" ref="O8:O72" si="2">N8=S8</f>
        <v>0</v>
      </c>
      <c r="R8" t="s">
        <v>716</v>
      </c>
      <c r="S8" s="1327"/>
      <c r="T8" s="1124" t="s">
        <v>592</v>
      </c>
      <c r="U8" s="1062">
        <v>1</v>
      </c>
      <c r="V8" s="1072" t="s">
        <v>349</v>
      </c>
      <c r="W8" s="1059"/>
      <c r="X8" s="1039"/>
      <c r="Y8" s="1039"/>
      <c r="Z8" s="1039"/>
      <c r="AA8" s="1039"/>
      <c r="AB8" s="1039"/>
      <c r="AC8" s="1039"/>
      <c r="AD8" s="1039"/>
      <c r="AE8">
        <v>1</v>
      </c>
    </row>
    <row r="9" spans="1:31" x14ac:dyDescent="0.25">
      <c r="A9" s="96" t="s">
        <v>716</v>
      </c>
      <c r="B9" s="167" t="s">
        <v>699</v>
      </c>
      <c r="C9" s="1122" t="s">
        <v>592</v>
      </c>
      <c r="D9" s="50">
        <f>Poeng!S19</f>
        <v>7</v>
      </c>
      <c r="E9" s="49"/>
      <c r="F9" s="52">
        <f>Poeng!AA19</f>
        <v>7</v>
      </c>
      <c r="H9" s="165">
        <f t="shared" si="0"/>
        <v>1</v>
      </c>
      <c r="I9" s="365" t="str">
        <f t="shared" si="1"/>
        <v>FEIL</v>
      </c>
      <c r="K9" s="348"/>
      <c r="N9" s="353" t="s">
        <v>96</v>
      </c>
      <c r="O9" s="348" t="b">
        <f t="shared" si="2"/>
        <v>0</v>
      </c>
      <c r="R9" s="995" t="s">
        <v>717</v>
      </c>
      <c r="S9" s="1327"/>
      <c r="T9" s="1124" t="s">
        <v>589</v>
      </c>
      <c r="U9" s="1062">
        <v>1</v>
      </c>
      <c r="V9" s="1072" t="s">
        <v>349</v>
      </c>
      <c r="W9" s="1059"/>
      <c r="X9" s="1039"/>
      <c r="Y9" s="1039"/>
      <c r="Z9" s="1039"/>
      <c r="AA9" s="1039"/>
      <c r="AB9" s="1039"/>
      <c r="AC9" s="1039"/>
      <c r="AD9" s="1039"/>
      <c r="AE9">
        <v>2</v>
      </c>
    </row>
    <row r="10" spans="1:31" x14ac:dyDescent="0.25">
      <c r="A10" s="96" t="s">
        <v>717</v>
      </c>
      <c r="B10" s="167" t="s">
        <v>700</v>
      </c>
      <c r="C10" s="1122" t="s">
        <v>589</v>
      </c>
      <c r="D10" s="50">
        <f>Poeng!S26</f>
        <v>3</v>
      </c>
      <c r="E10" s="49"/>
      <c r="F10" s="52">
        <f>Poeng!AA26</f>
        <v>3</v>
      </c>
      <c r="H10" s="165">
        <f t="shared" si="0"/>
        <v>1</v>
      </c>
      <c r="I10" s="365" t="str">
        <f t="shared" si="1"/>
        <v>FEIL</v>
      </c>
      <c r="K10" s="348"/>
      <c r="N10" s="353" t="s">
        <v>97</v>
      </c>
      <c r="O10" s="348" t="b">
        <f t="shared" si="2"/>
        <v>0</v>
      </c>
      <c r="R10" s="995" t="s">
        <v>718</v>
      </c>
      <c r="S10" s="1327"/>
      <c r="T10" s="1124" t="s">
        <v>590</v>
      </c>
      <c r="U10" s="1062">
        <v>2</v>
      </c>
      <c r="V10" s="1072" t="s">
        <v>349</v>
      </c>
      <c r="W10" s="1059"/>
      <c r="X10" s="1039"/>
      <c r="Y10" s="1039"/>
      <c r="Z10" s="1039"/>
      <c r="AA10" s="1039"/>
      <c r="AB10" s="1039"/>
      <c r="AC10" s="1039"/>
      <c r="AD10" s="1039"/>
      <c r="AE10">
        <v>3</v>
      </c>
    </row>
    <row r="11" spans="1:31" ht="15" customHeight="1" x14ac:dyDescent="0.25">
      <c r="A11" s="96" t="s">
        <v>718</v>
      </c>
      <c r="B11" s="167" t="s">
        <v>698</v>
      </c>
      <c r="C11" s="1122" t="s">
        <v>590</v>
      </c>
      <c r="D11" s="50">
        <f>Poeng!S30</f>
        <v>3</v>
      </c>
      <c r="E11" s="49"/>
      <c r="F11" s="52">
        <f>Poeng!AA30</f>
        <v>3</v>
      </c>
      <c r="H11" s="165">
        <f t="shared" si="0"/>
        <v>2</v>
      </c>
      <c r="I11" s="365" t="str">
        <f t="shared" si="1"/>
        <v>FEIL</v>
      </c>
      <c r="K11" s="348"/>
      <c r="N11" s="353" t="s">
        <v>98</v>
      </c>
      <c r="O11" s="348" t="b">
        <f t="shared" si="2"/>
        <v>0</v>
      </c>
      <c r="R11" s="995" t="s">
        <v>719</v>
      </c>
      <c r="S11" s="1331"/>
      <c r="T11" s="1124" t="s">
        <v>591</v>
      </c>
      <c r="U11" s="1062">
        <v>1</v>
      </c>
      <c r="V11" s="1072" t="s">
        <v>349</v>
      </c>
      <c r="W11" s="1059"/>
      <c r="X11" s="1039"/>
      <c r="Y11" s="1039"/>
      <c r="Z11" s="1039"/>
      <c r="AA11" s="1039"/>
      <c r="AB11" s="1039"/>
      <c r="AC11" s="1039"/>
      <c r="AD11" s="1039"/>
      <c r="AE11" s="995">
        <v>4</v>
      </c>
    </row>
    <row r="12" spans="1:31" x14ac:dyDescent="0.25">
      <c r="A12" s="96" t="s">
        <v>719</v>
      </c>
      <c r="B12" s="167" t="s">
        <v>697</v>
      </c>
      <c r="C12" s="1122" t="s">
        <v>591</v>
      </c>
      <c r="D12" s="50">
        <f>Poeng!S34</f>
        <v>0</v>
      </c>
      <c r="E12" s="49"/>
      <c r="F12" s="52">
        <f>Poeng!AA34</f>
        <v>0</v>
      </c>
      <c r="H12" s="165">
        <f t="shared" si="0"/>
        <v>1</v>
      </c>
      <c r="I12" s="365" t="str">
        <f t="shared" si="1"/>
        <v>FEIL</v>
      </c>
      <c r="K12" s="348"/>
      <c r="N12" s="350"/>
      <c r="O12" s="348" t="b">
        <f t="shared" si="2"/>
        <v>0</v>
      </c>
      <c r="R12" s="995"/>
      <c r="S12" s="1323" t="s">
        <v>95</v>
      </c>
      <c r="T12" s="1125" t="s">
        <v>838</v>
      </c>
      <c r="U12" s="1069"/>
      <c r="V12" s="1043"/>
      <c r="W12" s="1059"/>
      <c r="X12" s="1039"/>
      <c r="Y12" s="1039"/>
      <c r="Z12" s="1039"/>
      <c r="AA12" s="1039"/>
      <c r="AB12" s="1039"/>
      <c r="AC12" s="1039"/>
      <c r="AD12" s="1039"/>
      <c r="AE12" s="995">
        <v>5</v>
      </c>
    </row>
    <row r="13" spans="1:31" ht="15.75" thickBot="1" x14ac:dyDescent="0.3">
      <c r="A13" s="137" t="s">
        <v>95</v>
      </c>
      <c r="B13" s="845" t="s">
        <v>95</v>
      </c>
      <c r="C13" s="845" t="s">
        <v>309</v>
      </c>
      <c r="D13" s="55">
        <f>Poeng!S35</f>
        <v>0</v>
      </c>
      <c r="E13" s="54"/>
      <c r="F13" s="52">
        <f>Poeng!AA35</f>
        <v>0</v>
      </c>
      <c r="H13" s="933">
        <f t="shared" si="0"/>
        <v>0</v>
      </c>
      <c r="I13" s="365" t="str">
        <f t="shared" si="1"/>
        <v>OK</v>
      </c>
      <c r="K13" s="348"/>
      <c r="N13" s="351" t="s">
        <v>353</v>
      </c>
      <c r="O13" s="348" t="b">
        <f t="shared" si="2"/>
        <v>0</v>
      </c>
      <c r="R13" s="995" t="s">
        <v>720</v>
      </c>
      <c r="S13" s="1324"/>
      <c r="T13" s="1124" t="s">
        <v>594</v>
      </c>
      <c r="U13" s="1063">
        <v>2</v>
      </c>
      <c r="V13" s="1072" t="s">
        <v>349</v>
      </c>
      <c r="W13" s="1059"/>
      <c r="X13" s="1039"/>
      <c r="Y13" s="1039"/>
      <c r="Z13" s="1039"/>
      <c r="AA13" s="1039"/>
      <c r="AB13" s="1039"/>
      <c r="AC13" s="1039"/>
      <c r="AD13" s="1039"/>
      <c r="AE13" s="995">
        <v>6</v>
      </c>
    </row>
    <row r="14" spans="1:31" ht="15.75" thickBot="1" x14ac:dyDescent="0.3">
      <c r="A14" s="96" t="s">
        <v>720</v>
      </c>
      <c r="B14" s="167" t="s">
        <v>696</v>
      </c>
      <c r="C14" s="1122" t="s">
        <v>594</v>
      </c>
      <c r="D14" s="56">
        <f>Poeng!S36</f>
        <v>21</v>
      </c>
      <c r="E14" s="56"/>
      <c r="F14" s="56">
        <f>SUM(F7:F13)</f>
        <v>21</v>
      </c>
      <c r="H14" s="165">
        <f t="shared" si="0"/>
        <v>2</v>
      </c>
      <c r="I14" s="365" t="str">
        <f t="shared" si="1"/>
        <v>FEIL</v>
      </c>
      <c r="K14" s="348"/>
      <c r="N14" s="356" t="s">
        <v>119</v>
      </c>
      <c r="O14" s="348" t="b">
        <f t="shared" si="2"/>
        <v>0</v>
      </c>
      <c r="R14" s="995" t="s">
        <v>721</v>
      </c>
      <c r="S14" s="1325"/>
      <c r="T14" s="1124" t="s">
        <v>595</v>
      </c>
      <c r="U14" s="1063">
        <v>1</v>
      </c>
      <c r="V14" s="1072" t="s">
        <v>349</v>
      </c>
      <c r="W14" s="1059"/>
      <c r="X14" s="1039"/>
      <c r="Y14" s="1039"/>
      <c r="Z14" s="1039"/>
      <c r="AA14" s="1039"/>
      <c r="AB14" s="1039"/>
      <c r="AC14" s="1039"/>
      <c r="AD14" s="1039"/>
      <c r="AE14" s="995">
        <v>7</v>
      </c>
    </row>
    <row r="15" spans="1:31" ht="15.75" thickBot="1" x14ac:dyDescent="0.3">
      <c r="A15" s="96" t="s">
        <v>721</v>
      </c>
      <c r="B15" s="167" t="s">
        <v>699</v>
      </c>
      <c r="C15" s="1122" t="s">
        <v>595</v>
      </c>
      <c r="D15" s="30"/>
      <c r="E15" s="30"/>
      <c r="H15" s="165">
        <f t="shared" si="0"/>
        <v>1</v>
      </c>
      <c r="I15" s="365" t="str">
        <f t="shared" si="1"/>
        <v>FEIL</v>
      </c>
      <c r="K15" s="348"/>
      <c r="N15" s="357"/>
      <c r="O15" s="348" t="b">
        <f t="shared" si="2"/>
        <v>0</v>
      </c>
      <c r="R15" s="995"/>
      <c r="S15" s="1323" t="s">
        <v>96</v>
      </c>
      <c r="T15" s="1041" t="s">
        <v>350</v>
      </c>
      <c r="U15" s="1069"/>
      <c r="V15" s="1043"/>
      <c r="W15" s="1059"/>
      <c r="X15" s="995"/>
      <c r="Y15" s="995"/>
      <c r="Z15" s="995"/>
      <c r="AA15" s="995"/>
      <c r="AB15" s="995"/>
      <c r="AC15" s="995"/>
      <c r="AD15" s="995"/>
      <c r="AE15" s="995">
        <v>8</v>
      </c>
    </row>
    <row r="16" spans="1:31" ht="15.75" thickBot="1" x14ac:dyDescent="0.3">
      <c r="A16" s="137" t="s">
        <v>96</v>
      </c>
      <c r="B16" s="845" t="s">
        <v>96</v>
      </c>
      <c r="C16" s="845" t="s">
        <v>310</v>
      </c>
      <c r="D16" s="53"/>
      <c r="E16" s="53"/>
      <c r="F16" s="53"/>
      <c r="H16" s="933">
        <f t="shared" si="0"/>
        <v>0</v>
      </c>
      <c r="I16" s="365" t="str">
        <f t="shared" si="1"/>
        <v>OK</v>
      </c>
      <c r="K16" s="348"/>
      <c r="N16" s="358"/>
      <c r="O16" s="348" t="b">
        <f t="shared" si="2"/>
        <v>1</v>
      </c>
      <c r="R16" s="995" t="s">
        <v>722</v>
      </c>
      <c r="S16" s="1324"/>
      <c r="T16" s="1002" t="s">
        <v>596</v>
      </c>
      <c r="U16" s="1062">
        <v>1</v>
      </c>
      <c r="V16" s="1072" t="s">
        <v>349</v>
      </c>
      <c r="W16" s="1059"/>
      <c r="X16" s="995"/>
      <c r="Y16" s="995"/>
      <c r="Z16" s="995"/>
      <c r="AA16" s="995"/>
      <c r="AB16" s="995"/>
      <c r="AC16" s="995"/>
      <c r="AD16" s="995"/>
      <c r="AE16" s="995">
        <v>9</v>
      </c>
    </row>
    <row r="17" spans="1:31" x14ac:dyDescent="0.25">
      <c r="A17" s="96" t="s">
        <v>722</v>
      </c>
      <c r="B17" s="167" t="s">
        <v>696</v>
      </c>
      <c r="C17" s="931" t="s">
        <v>596</v>
      </c>
      <c r="D17" s="52">
        <f>Poeng!S39</f>
        <v>7</v>
      </c>
      <c r="E17" s="51"/>
      <c r="F17" s="52">
        <f>Poeng!AA39</f>
        <v>7</v>
      </c>
      <c r="H17" s="165">
        <f t="shared" si="0"/>
        <v>1</v>
      </c>
      <c r="I17" s="365" t="str">
        <f t="shared" si="1"/>
        <v>FEIL</v>
      </c>
      <c r="K17" s="348"/>
      <c r="N17" s="356" t="s">
        <v>120</v>
      </c>
      <c r="O17" s="348" t="b">
        <f t="shared" si="2"/>
        <v>0</v>
      </c>
      <c r="R17" s="995" t="s">
        <v>723</v>
      </c>
      <c r="S17" s="1324"/>
      <c r="T17" s="1002" t="s">
        <v>597</v>
      </c>
      <c r="U17" s="1062">
        <v>1</v>
      </c>
      <c r="V17" s="1072" t="s">
        <v>349</v>
      </c>
      <c r="W17" s="1059"/>
      <c r="X17" s="995"/>
      <c r="Y17" s="995"/>
      <c r="Z17" s="995"/>
      <c r="AA17" s="995"/>
      <c r="AB17" s="995"/>
      <c r="AC17" s="995"/>
      <c r="AD17" s="995"/>
      <c r="AE17" s="995">
        <v>10</v>
      </c>
    </row>
    <row r="18" spans="1:31" x14ac:dyDescent="0.25">
      <c r="A18" s="96" t="s">
        <v>723</v>
      </c>
      <c r="B18" s="167" t="s">
        <v>699</v>
      </c>
      <c r="C18" s="931" t="s">
        <v>597</v>
      </c>
      <c r="D18" s="50">
        <f>Poeng!S46</f>
        <v>4</v>
      </c>
      <c r="E18" s="49"/>
      <c r="F18" s="52">
        <f>Poeng!AA46</f>
        <v>4</v>
      </c>
      <c r="H18" s="165">
        <f t="shared" si="0"/>
        <v>1</v>
      </c>
      <c r="I18" s="365" t="str">
        <f t="shared" si="1"/>
        <v>FEIL</v>
      </c>
      <c r="K18" s="348"/>
      <c r="N18" s="357"/>
      <c r="O18" s="348" t="b">
        <f t="shared" si="2"/>
        <v>1</v>
      </c>
      <c r="R18" s="995" t="s">
        <v>724</v>
      </c>
      <c r="S18" s="1324"/>
      <c r="T18" s="1002" t="s">
        <v>598</v>
      </c>
      <c r="U18" s="1062">
        <v>2</v>
      </c>
      <c r="V18" s="1072" t="s">
        <v>349</v>
      </c>
      <c r="W18" s="1059"/>
      <c r="X18" s="995"/>
      <c r="Y18" s="995"/>
      <c r="Z18" s="995"/>
      <c r="AA18" s="995"/>
      <c r="AB18" s="995"/>
      <c r="AC18" s="995"/>
      <c r="AD18" s="995"/>
      <c r="AE18" s="995">
        <v>11</v>
      </c>
    </row>
    <row r="19" spans="1:31" x14ac:dyDescent="0.25">
      <c r="A19" s="96" t="s">
        <v>724</v>
      </c>
      <c r="B19" s="167" t="s">
        <v>700</v>
      </c>
      <c r="C19" s="1025" t="s">
        <v>916</v>
      </c>
      <c r="D19" s="50">
        <f>Poeng!S51</f>
        <v>3</v>
      </c>
      <c r="E19" s="49"/>
      <c r="F19" s="52">
        <f>Poeng!AA51</f>
        <v>3</v>
      </c>
      <c r="H19" s="1052">
        <f>IF(SUMIF($R$7:$R$182,A19,$U$7:$U$182)=2,1,SUMIF($R$7:$R$182,A19,$U$7:$U$182))</f>
        <v>1</v>
      </c>
      <c r="I19" s="365" t="str">
        <f t="shared" si="1"/>
        <v>FEIL</v>
      </c>
      <c r="J19" s="1054" t="s">
        <v>948</v>
      </c>
      <c r="K19" s="348"/>
      <c r="N19" s="358"/>
      <c r="O19" s="348" t="b">
        <f t="shared" si="2"/>
        <v>1</v>
      </c>
      <c r="R19" s="995" t="s">
        <v>914</v>
      </c>
      <c r="S19" s="1325"/>
      <c r="T19" s="1002" t="s">
        <v>599</v>
      </c>
      <c r="U19" s="1062">
        <v>1</v>
      </c>
      <c r="V19" s="1072" t="s">
        <v>349</v>
      </c>
      <c r="W19" s="1059"/>
      <c r="AE19" s="995">
        <v>12</v>
      </c>
    </row>
    <row r="20" spans="1:31" ht="15" customHeight="1" x14ac:dyDescent="0.25">
      <c r="A20" s="96" t="s">
        <v>725</v>
      </c>
      <c r="B20" s="167" t="s">
        <v>698</v>
      </c>
      <c r="C20" s="1025" t="s">
        <v>917</v>
      </c>
      <c r="D20" s="50">
        <f>Poeng!S55</f>
        <v>0</v>
      </c>
      <c r="E20" s="49"/>
      <c r="F20" s="52">
        <f>Poeng!AA55</f>
        <v>0</v>
      </c>
      <c r="H20" s="1052">
        <f>IF(SUMIF($R$7:$R$182,A19,$U$7:$U$182)=2,1,0)</f>
        <v>1</v>
      </c>
      <c r="I20" s="365" t="str">
        <f t="shared" si="1"/>
        <v>FEIL</v>
      </c>
      <c r="J20" s="1054" t="s">
        <v>948</v>
      </c>
      <c r="K20" s="348"/>
      <c r="N20" s="354" t="s">
        <v>121</v>
      </c>
      <c r="O20" s="348" t="b">
        <f t="shared" si="2"/>
        <v>0</v>
      </c>
      <c r="R20" s="995"/>
      <c r="S20" s="1323" t="s">
        <v>97</v>
      </c>
      <c r="T20" s="1041" t="s">
        <v>351</v>
      </c>
      <c r="U20" s="1069"/>
      <c r="V20" s="1043"/>
      <c r="W20" s="1059"/>
      <c r="AE20" s="995">
        <v>13</v>
      </c>
    </row>
    <row r="21" spans="1:31" x14ac:dyDescent="0.25">
      <c r="A21" s="96" t="s">
        <v>914</v>
      </c>
      <c r="B21" s="167" t="s">
        <v>697</v>
      </c>
      <c r="C21" s="1025" t="s">
        <v>918</v>
      </c>
      <c r="D21" s="50">
        <f>Poeng!S56</f>
        <v>3</v>
      </c>
      <c r="E21" s="49"/>
      <c r="F21" s="52">
        <f>Poeng!AA56</f>
        <v>3</v>
      </c>
      <c r="H21" s="1052">
        <f>IF(SUMIF($R$7:$R$182,A21,$U$7:$U$182)=3,1,SUMIF($R$7:$R$182,A21,$U$7:$U$182))</f>
        <v>1</v>
      </c>
      <c r="I21" s="365" t="str">
        <f t="shared" si="1"/>
        <v>FEIL</v>
      </c>
      <c r="J21" t="s">
        <v>948</v>
      </c>
      <c r="K21" s="348"/>
      <c r="N21" s="354" t="s">
        <v>122</v>
      </c>
      <c r="O21" s="348" t="b">
        <f t="shared" si="2"/>
        <v>0</v>
      </c>
      <c r="R21" s="995" t="s">
        <v>726</v>
      </c>
      <c r="S21" s="1324"/>
      <c r="T21" s="1002" t="s">
        <v>600</v>
      </c>
      <c r="U21" s="1062">
        <v>1</v>
      </c>
      <c r="V21" s="1072" t="s">
        <v>349</v>
      </c>
      <c r="W21" s="1059"/>
      <c r="AE21" s="995">
        <v>14</v>
      </c>
    </row>
    <row r="22" spans="1:31" ht="48.75" customHeight="1" x14ac:dyDescent="0.25">
      <c r="A22" s="96" t="s">
        <v>915</v>
      </c>
      <c r="B22" s="167" t="s">
        <v>913</v>
      </c>
      <c r="C22" s="1025" t="s">
        <v>919</v>
      </c>
      <c r="D22" s="50">
        <f>Poeng!S59</f>
        <v>2</v>
      </c>
      <c r="E22" s="49"/>
      <c r="F22" s="52">
        <f>Poeng!AA59</f>
        <v>2</v>
      </c>
      <c r="H22" s="1052">
        <f>IF(SUMIF($R$7:$R$182,A21,$U$7:$U$182)=3,2,0)</f>
        <v>0</v>
      </c>
      <c r="I22" s="365" t="str">
        <f t="shared" si="1"/>
        <v>FEIL</v>
      </c>
      <c r="J22" s="1054" t="s">
        <v>948</v>
      </c>
      <c r="K22" s="348"/>
      <c r="N22" s="354" t="s">
        <v>123</v>
      </c>
      <c r="O22" s="348" t="b">
        <f t="shared" si="2"/>
        <v>0</v>
      </c>
      <c r="R22" s="995" t="s">
        <v>727</v>
      </c>
      <c r="S22" s="1324"/>
      <c r="T22" s="1002" t="s">
        <v>601</v>
      </c>
      <c r="U22" s="1062">
        <v>1</v>
      </c>
      <c r="V22" s="1072" t="s">
        <v>349</v>
      </c>
      <c r="W22" s="1059"/>
      <c r="AE22" s="995">
        <v>15</v>
      </c>
    </row>
    <row r="23" spans="1:31" ht="15" customHeight="1" x14ac:dyDescent="0.25">
      <c r="A23" s="137" t="s">
        <v>97</v>
      </c>
      <c r="B23" s="845" t="s">
        <v>97</v>
      </c>
      <c r="C23" s="845" t="s">
        <v>398</v>
      </c>
      <c r="D23" s="67">
        <f>Poeng!S62</f>
        <v>0</v>
      </c>
      <c r="E23" s="49"/>
      <c r="F23" s="366">
        <f>Poeng!AA62</f>
        <v>0</v>
      </c>
      <c r="H23" s="933">
        <f t="shared" si="0"/>
        <v>0</v>
      </c>
      <c r="I23" s="365" t="str">
        <f t="shared" si="1"/>
        <v>OK</v>
      </c>
      <c r="K23" s="348"/>
      <c r="N23" s="354" t="s">
        <v>124</v>
      </c>
      <c r="O23" s="348" t="b">
        <f t="shared" si="2"/>
        <v>0</v>
      </c>
      <c r="R23" s="995" t="s">
        <v>728</v>
      </c>
      <c r="S23" s="1325"/>
      <c r="T23" s="1002" t="s">
        <v>602</v>
      </c>
      <c r="U23" s="1062">
        <v>1</v>
      </c>
      <c r="V23" s="1072" t="s">
        <v>349</v>
      </c>
      <c r="W23" s="1059"/>
      <c r="AE23" s="995">
        <v>16</v>
      </c>
    </row>
    <row r="24" spans="1:31" x14ac:dyDescent="0.25">
      <c r="A24" s="96" t="s">
        <v>726</v>
      </c>
      <c r="B24" s="167" t="s">
        <v>696</v>
      </c>
      <c r="C24" s="931" t="s">
        <v>600</v>
      </c>
      <c r="D24" s="50">
        <f>Poeng!S63</f>
        <v>0</v>
      </c>
      <c r="E24" s="49"/>
      <c r="F24" s="52">
        <f>Poeng!AA63</f>
        <v>0</v>
      </c>
      <c r="H24" s="165">
        <f t="shared" si="0"/>
        <v>1</v>
      </c>
      <c r="I24" s="365" t="str">
        <f t="shared" si="1"/>
        <v>FEIL</v>
      </c>
      <c r="K24" s="348"/>
      <c r="N24" s="354" t="s">
        <v>125</v>
      </c>
      <c r="O24" s="348" t="b">
        <f t="shared" si="2"/>
        <v>0</v>
      </c>
      <c r="R24" s="995"/>
      <c r="S24" s="1326" t="s">
        <v>98</v>
      </c>
      <c r="T24" s="1042" t="s">
        <v>352</v>
      </c>
      <c r="U24" s="1069"/>
      <c r="V24" s="1043"/>
      <c r="W24" s="1059"/>
      <c r="AE24" s="995">
        <v>17</v>
      </c>
    </row>
    <row r="25" spans="1:31" ht="73.5" customHeight="1" thickBot="1" x14ac:dyDescent="0.3">
      <c r="A25" s="96" t="s">
        <v>727</v>
      </c>
      <c r="B25" s="167" t="s">
        <v>699</v>
      </c>
      <c r="C25" s="931" t="s">
        <v>601</v>
      </c>
      <c r="D25" s="55">
        <f>Poeng!S65</f>
        <v>0</v>
      </c>
      <c r="E25" s="54"/>
      <c r="F25" s="52">
        <f>Poeng!AA65</f>
        <v>0</v>
      </c>
      <c r="H25" s="165">
        <f t="shared" si="0"/>
        <v>1</v>
      </c>
      <c r="I25" s="365" t="str">
        <f t="shared" si="1"/>
        <v>FEIL</v>
      </c>
      <c r="N25" s="354" t="s">
        <v>126</v>
      </c>
      <c r="O25" s="348" t="b">
        <f t="shared" si="2"/>
        <v>0</v>
      </c>
      <c r="R25" s="995" t="s">
        <v>729</v>
      </c>
      <c r="S25" s="1327"/>
      <c r="T25" s="1002" t="s">
        <v>603</v>
      </c>
      <c r="U25" s="1062">
        <v>1</v>
      </c>
      <c r="V25" s="1072" t="s">
        <v>349</v>
      </c>
      <c r="W25" s="1059"/>
      <c r="AE25" s="995">
        <v>18</v>
      </c>
    </row>
    <row r="26" spans="1:31" ht="15.75" thickBot="1" x14ac:dyDescent="0.3">
      <c r="A26" s="96" t="s">
        <v>728</v>
      </c>
      <c r="B26" s="167" t="s">
        <v>700</v>
      </c>
      <c r="C26" s="931" t="s">
        <v>602</v>
      </c>
      <c r="D26" s="56">
        <f>Poeng!S66</f>
        <v>19</v>
      </c>
      <c r="E26" s="56"/>
      <c r="F26" s="56">
        <f>SUM(F17:F25)</f>
        <v>19</v>
      </c>
      <c r="H26" s="165">
        <f t="shared" si="0"/>
        <v>1</v>
      </c>
      <c r="I26" s="365" t="str">
        <f t="shared" si="1"/>
        <v>FEIL</v>
      </c>
      <c r="N26" s="354" t="s">
        <v>127</v>
      </c>
      <c r="O26" s="348" t="b">
        <f t="shared" si="2"/>
        <v>0</v>
      </c>
      <c r="R26" s="995" t="s">
        <v>730</v>
      </c>
      <c r="S26" s="1327"/>
      <c r="T26" s="1002" t="s">
        <v>604</v>
      </c>
      <c r="U26" s="1062">
        <v>1</v>
      </c>
      <c r="V26" s="1072" t="s">
        <v>349</v>
      </c>
      <c r="W26" s="1059"/>
      <c r="AE26" s="995">
        <v>19</v>
      </c>
    </row>
    <row r="27" spans="1:31" ht="15.75" thickBot="1" x14ac:dyDescent="0.3">
      <c r="A27" s="137" t="s">
        <v>98</v>
      </c>
      <c r="B27" s="845" t="s">
        <v>98</v>
      </c>
      <c r="C27" s="845" t="s">
        <v>311</v>
      </c>
      <c r="D27" s="30"/>
      <c r="E27" s="30"/>
      <c r="H27" s="933">
        <f t="shared" si="0"/>
        <v>0</v>
      </c>
      <c r="I27" s="365" t="str">
        <f t="shared" si="1"/>
        <v>OK</v>
      </c>
      <c r="N27" s="350"/>
      <c r="O27" s="348" t="b">
        <f t="shared" si="2"/>
        <v>1</v>
      </c>
      <c r="R27" s="995" t="s">
        <v>731</v>
      </c>
      <c r="S27" s="1327"/>
      <c r="T27" s="1002" t="s">
        <v>605</v>
      </c>
      <c r="U27" s="1062">
        <v>1</v>
      </c>
      <c r="V27" s="1072" t="s">
        <v>349</v>
      </c>
      <c r="W27" s="1059"/>
      <c r="AE27" s="995">
        <v>20</v>
      </c>
    </row>
    <row r="28" spans="1:31" ht="15.75" thickBot="1" x14ac:dyDescent="0.3">
      <c r="A28" s="96" t="s">
        <v>729</v>
      </c>
      <c r="B28" s="167" t="s">
        <v>696</v>
      </c>
      <c r="C28" s="931" t="s">
        <v>603</v>
      </c>
      <c r="D28" s="53"/>
      <c r="E28" s="53"/>
      <c r="F28" s="53"/>
      <c r="H28" s="165">
        <f t="shared" si="0"/>
        <v>1</v>
      </c>
      <c r="I28" s="365" t="str">
        <f t="shared" si="1"/>
        <v>FEIL</v>
      </c>
      <c r="N28" s="351" t="s">
        <v>356</v>
      </c>
      <c r="O28" s="348" t="b">
        <f t="shared" si="2"/>
        <v>0</v>
      </c>
      <c r="R28" s="995"/>
      <c r="S28" s="1000" t="s">
        <v>353</v>
      </c>
      <c r="T28" s="999"/>
      <c r="U28" s="1060"/>
      <c r="V28" s="1061"/>
      <c r="W28" s="1059"/>
      <c r="AE28" s="995">
        <v>21</v>
      </c>
    </row>
    <row r="29" spans="1:31" x14ac:dyDescent="0.25">
      <c r="A29" s="96" t="s">
        <v>730</v>
      </c>
      <c r="B29" s="167" t="s">
        <v>699</v>
      </c>
      <c r="C29" s="931" t="s">
        <v>604</v>
      </c>
      <c r="D29" s="52">
        <f>Poeng!S69</f>
        <v>12</v>
      </c>
      <c r="E29" s="51"/>
      <c r="F29" s="52">
        <f>Poeng!AA69</f>
        <v>12</v>
      </c>
      <c r="H29" s="165">
        <f t="shared" si="0"/>
        <v>1</v>
      </c>
      <c r="I29" s="365" t="str">
        <f t="shared" si="1"/>
        <v>FEIL</v>
      </c>
      <c r="N29" s="354" t="s">
        <v>137</v>
      </c>
      <c r="O29" s="348" t="b">
        <f t="shared" si="2"/>
        <v>0</v>
      </c>
      <c r="R29" s="995"/>
      <c r="S29" s="1317" t="s">
        <v>119</v>
      </c>
      <c r="T29" s="1044" t="s">
        <v>839</v>
      </c>
      <c r="U29" s="1070"/>
      <c r="V29" s="1045"/>
      <c r="W29" s="1059"/>
      <c r="AE29" s="995">
        <v>22</v>
      </c>
    </row>
    <row r="30" spans="1:31" x14ac:dyDescent="0.25">
      <c r="A30" s="96" t="s">
        <v>731</v>
      </c>
      <c r="B30" s="167" t="s">
        <v>700</v>
      </c>
      <c r="C30" s="931" t="s">
        <v>605</v>
      </c>
      <c r="D30" s="50">
        <f>Poeng!S75</f>
        <v>2</v>
      </c>
      <c r="E30" s="49"/>
      <c r="F30" s="52">
        <f>Poeng!AA75</f>
        <v>2</v>
      </c>
      <c r="H30" s="165">
        <f t="shared" si="0"/>
        <v>1</v>
      </c>
      <c r="I30" s="365" t="str">
        <f t="shared" si="1"/>
        <v>FEIL</v>
      </c>
      <c r="N30" s="354" t="s">
        <v>255</v>
      </c>
      <c r="O30" s="348" t="b">
        <f t="shared" si="2"/>
        <v>0</v>
      </c>
      <c r="R30" s="995" t="s">
        <v>732</v>
      </c>
      <c r="S30" s="1318"/>
      <c r="T30" s="1004" t="s">
        <v>606</v>
      </c>
      <c r="U30" s="1064">
        <v>3</v>
      </c>
      <c r="V30" s="1073" t="s">
        <v>349</v>
      </c>
      <c r="W30" s="1059"/>
      <c r="AE30" s="995">
        <v>23</v>
      </c>
    </row>
    <row r="31" spans="1:31" x14ac:dyDescent="0.25">
      <c r="A31" s="96"/>
      <c r="B31" s="711" t="s">
        <v>99</v>
      </c>
      <c r="C31" s="711"/>
      <c r="D31" s="50">
        <f>Poeng!S79</f>
        <v>1</v>
      </c>
      <c r="E31" s="49"/>
      <c r="F31" s="52">
        <f>Poeng!AA79</f>
        <v>1</v>
      </c>
      <c r="H31" s="968">
        <f t="shared" si="0"/>
        <v>0</v>
      </c>
      <c r="I31" s="365" t="str">
        <f t="shared" si="1"/>
        <v>FEIL</v>
      </c>
      <c r="N31" s="354" t="s">
        <v>357</v>
      </c>
      <c r="O31" s="348" t="b">
        <f t="shared" si="2"/>
        <v>0</v>
      </c>
      <c r="R31" s="995" t="s">
        <v>733</v>
      </c>
      <c r="S31" s="1318"/>
      <c r="T31" s="1004" t="s">
        <v>607</v>
      </c>
      <c r="U31" s="1065">
        <v>1</v>
      </c>
      <c r="V31" s="1074" t="s">
        <v>349</v>
      </c>
      <c r="W31" s="1059"/>
      <c r="AE31" s="995">
        <v>24</v>
      </c>
    </row>
    <row r="32" spans="1:31" ht="15.75" customHeight="1" thickBot="1" x14ac:dyDescent="0.3">
      <c r="A32" s="96"/>
      <c r="B32" s="711" t="s">
        <v>100</v>
      </c>
      <c r="C32" s="711"/>
      <c r="D32" s="50">
        <f>Poeng!S82</f>
        <v>0</v>
      </c>
      <c r="E32" s="49"/>
      <c r="F32" s="52">
        <f>Poeng!AA82</f>
        <v>0</v>
      </c>
      <c r="H32" s="968">
        <f t="shared" si="0"/>
        <v>0</v>
      </c>
      <c r="I32" s="365" t="str">
        <f t="shared" si="1"/>
        <v>OK</v>
      </c>
      <c r="N32" s="354" t="s">
        <v>139</v>
      </c>
      <c r="O32" s="348" t="b">
        <f t="shared" si="2"/>
        <v>0</v>
      </c>
      <c r="R32" s="995" t="s">
        <v>734</v>
      </c>
      <c r="S32" s="1318"/>
      <c r="T32" s="1004" t="s">
        <v>608</v>
      </c>
      <c r="U32" s="1065">
        <v>1</v>
      </c>
      <c r="V32" s="1074" t="s">
        <v>349</v>
      </c>
      <c r="W32" s="1059"/>
      <c r="AE32" s="995">
        <v>25</v>
      </c>
    </row>
    <row r="33" spans="1:31" ht="15.75" thickBot="1" x14ac:dyDescent="0.3">
      <c r="A33" s="96" t="s">
        <v>886</v>
      </c>
      <c r="B33" s="722"/>
      <c r="C33" s="721" t="s">
        <v>216</v>
      </c>
      <c r="D33" s="50">
        <f>Poeng!S83</f>
        <v>2</v>
      </c>
      <c r="E33" s="49"/>
      <c r="F33" s="52">
        <f>Poeng!AA83</f>
        <v>2</v>
      </c>
      <c r="H33" s="203">
        <f t="shared" si="0"/>
        <v>0</v>
      </c>
      <c r="I33" s="365" t="str">
        <f t="shared" si="1"/>
        <v>FEIL</v>
      </c>
      <c r="N33" s="354" t="s">
        <v>140</v>
      </c>
      <c r="O33" s="348" t="b">
        <f t="shared" si="2"/>
        <v>0</v>
      </c>
      <c r="R33" s="995" t="s">
        <v>735</v>
      </c>
      <c r="S33" s="1318"/>
      <c r="T33" s="1004" t="s">
        <v>609</v>
      </c>
      <c r="U33" s="1065">
        <v>1</v>
      </c>
      <c r="V33" s="1074" t="s">
        <v>349</v>
      </c>
      <c r="W33" s="1059"/>
      <c r="AE33" s="995">
        <v>26</v>
      </c>
    </row>
    <row r="34" spans="1:31" ht="15.75" thickBot="1" x14ac:dyDescent="0.3">
      <c r="A34" s="96"/>
      <c r="B34" s="96"/>
      <c r="C34" s="96"/>
      <c r="D34" s="50">
        <f>Poeng!S86</f>
        <v>3</v>
      </c>
      <c r="E34" s="49"/>
      <c r="F34" s="52">
        <f>Poeng!AA86</f>
        <v>3</v>
      </c>
      <c r="H34" s="96">
        <f t="shared" si="0"/>
        <v>0</v>
      </c>
      <c r="I34" s="365" t="str">
        <f t="shared" si="1"/>
        <v>FEIL</v>
      </c>
      <c r="N34" s="354" t="s">
        <v>141</v>
      </c>
      <c r="O34" s="348" t="b">
        <f t="shared" si="2"/>
        <v>0</v>
      </c>
      <c r="R34" s="995" t="s">
        <v>736</v>
      </c>
      <c r="S34" s="1319"/>
      <c r="T34" s="1004" t="s">
        <v>610</v>
      </c>
      <c r="U34" s="1062">
        <v>1</v>
      </c>
      <c r="V34" s="1073" t="s">
        <v>349</v>
      </c>
      <c r="W34" s="1059"/>
      <c r="AE34" s="995">
        <v>27</v>
      </c>
    </row>
    <row r="35" spans="1:31" ht="15.75" thickBot="1" x14ac:dyDescent="0.3">
      <c r="A35" s="96"/>
      <c r="B35" s="145"/>
      <c r="C35" s="146" t="s">
        <v>67</v>
      </c>
      <c r="D35" s="50">
        <f>Poeng!S90</f>
        <v>5</v>
      </c>
      <c r="E35" s="49"/>
      <c r="F35" s="52">
        <f>Poeng!AA90</f>
        <v>5</v>
      </c>
      <c r="H35" s="138">
        <f t="shared" si="0"/>
        <v>0</v>
      </c>
      <c r="I35" s="365" t="str">
        <f t="shared" si="1"/>
        <v>FEIL</v>
      </c>
      <c r="N35" s="354" t="s">
        <v>142</v>
      </c>
      <c r="O35" s="348" t="b">
        <f t="shared" si="2"/>
        <v>0</v>
      </c>
      <c r="R35" s="995"/>
      <c r="S35" s="1317" t="s">
        <v>120</v>
      </c>
      <c r="T35" s="1044" t="s">
        <v>840</v>
      </c>
      <c r="U35" s="1070"/>
      <c r="V35" s="1045"/>
      <c r="W35" s="1059"/>
      <c r="AE35" s="995">
        <v>28</v>
      </c>
    </row>
    <row r="36" spans="1:31" x14ac:dyDescent="0.25">
      <c r="A36" s="137" t="s">
        <v>119</v>
      </c>
      <c r="B36" s="846" t="s">
        <v>119</v>
      </c>
      <c r="C36" s="844" t="s">
        <v>117</v>
      </c>
      <c r="D36" s="50">
        <f>Poeng!S93</f>
        <v>2</v>
      </c>
      <c r="E36" s="49"/>
      <c r="F36" s="52">
        <f>Poeng!AA93</f>
        <v>2</v>
      </c>
      <c r="H36" s="975">
        <f t="shared" si="0"/>
        <v>0</v>
      </c>
      <c r="I36" s="365" t="str">
        <f t="shared" si="1"/>
        <v>FEIL</v>
      </c>
      <c r="N36" s="354" t="s">
        <v>143</v>
      </c>
      <c r="O36" s="348" t="b">
        <f t="shared" si="2"/>
        <v>0</v>
      </c>
      <c r="R36" s="995" t="s">
        <v>738</v>
      </c>
      <c r="S36" s="1318"/>
      <c r="T36" s="1004" t="s">
        <v>612</v>
      </c>
      <c r="U36" s="1062">
        <v>1</v>
      </c>
      <c r="V36" s="1073"/>
      <c r="W36" s="1059"/>
      <c r="AE36" s="995">
        <v>29</v>
      </c>
    </row>
    <row r="37" spans="1:31" ht="15.75" customHeight="1" x14ac:dyDescent="0.25">
      <c r="A37" t="s">
        <v>732</v>
      </c>
      <c r="B37" s="367" t="s">
        <v>696</v>
      </c>
      <c r="N37" s="354" t="s">
        <v>144</v>
      </c>
      <c r="O37" s="348" t="b">
        <f t="shared" si="2"/>
        <v>0</v>
      </c>
      <c r="R37" s="995" t="s">
        <v>739</v>
      </c>
      <c r="S37" s="1318"/>
      <c r="T37" s="1003" t="s">
        <v>613</v>
      </c>
      <c r="U37" s="1062">
        <v>2</v>
      </c>
      <c r="V37" s="1073" t="s">
        <v>349</v>
      </c>
      <c r="W37" s="1059"/>
      <c r="AE37" s="995">
        <v>30</v>
      </c>
    </row>
    <row r="38" spans="1:31" ht="15.75" customHeight="1" x14ac:dyDescent="0.25">
      <c r="A38" s="96" t="s">
        <v>733</v>
      </c>
      <c r="B38" s="163" t="s">
        <v>699</v>
      </c>
      <c r="C38" s="931" t="s">
        <v>606</v>
      </c>
      <c r="D38" s="50">
        <f>Poeng!S95</f>
        <v>0</v>
      </c>
      <c r="E38" s="49"/>
      <c r="F38" s="52">
        <f>Poeng!AA95</f>
        <v>0</v>
      </c>
      <c r="H38" s="212">
        <f t="shared" ref="H38:H71" si="3">SUMIF($R$7:$R$182,A38,$U$7:$U$182)</f>
        <v>1</v>
      </c>
      <c r="I38" s="365" t="str">
        <f t="shared" ref="I38:I74" si="4">IF(F38=H38,"OK","FEIL")</f>
        <v>FEIL</v>
      </c>
      <c r="N38" s="354" t="s">
        <v>145</v>
      </c>
      <c r="O38" s="348" t="b">
        <f t="shared" si="2"/>
        <v>0</v>
      </c>
      <c r="R38" s="995" t="s">
        <v>740</v>
      </c>
      <c r="S38" s="1319"/>
      <c r="T38" s="1003" t="s">
        <v>614</v>
      </c>
      <c r="U38" s="1066">
        <v>1</v>
      </c>
      <c r="V38" s="1073" t="s">
        <v>349</v>
      </c>
      <c r="W38" s="1059"/>
      <c r="AE38" s="995">
        <v>31</v>
      </c>
    </row>
    <row r="39" spans="1:31" ht="15.75" thickBot="1" x14ac:dyDescent="0.3">
      <c r="A39" s="96" t="s">
        <v>734</v>
      </c>
      <c r="B39" s="163" t="s">
        <v>700</v>
      </c>
      <c r="C39" s="931" t="s">
        <v>607</v>
      </c>
      <c r="D39" s="50">
        <f>Poeng!S96</f>
        <v>0</v>
      </c>
      <c r="E39" s="49"/>
      <c r="F39" s="52">
        <f>Poeng!AA96</f>
        <v>0</v>
      </c>
      <c r="H39" s="212">
        <f t="shared" si="3"/>
        <v>1</v>
      </c>
      <c r="I39" s="365" t="str">
        <f t="shared" si="4"/>
        <v>FEIL</v>
      </c>
      <c r="N39" s="355" t="s">
        <v>146</v>
      </c>
      <c r="O39" s="348" t="b">
        <f t="shared" si="2"/>
        <v>0</v>
      </c>
      <c r="R39" s="995"/>
      <c r="S39" s="1317" t="s">
        <v>121</v>
      </c>
      <c r="T39" s="1044" t="s">
        <v>841</v>
      </c>
      <c r="U39" s="1070"/>
      <c r="V39" s="1045"/>
      <c r="W39" s="1059"/>
      <c r="AE39" s="995">
        <v>32</v>
      </c>
    </row>
    <row r="40" spans="1:31" ht="15.75" thickBot="1" x14ac:dyDescent="0.3">
      <c r="A40" s="96" t="s">
        <v>735</v>
      </c>
      <c r="B40" s="163" t="s">
        <v>698</v>
      </c>
      <c r="C40" s="931" t="s">
        <v>608</v>
      </c>
      <c r="D40" s="56">
        <f>Poeng!S97</f>
        <v>27</v>
      </c>
      <c r="E40" s="56"/>
      <c r="F40" s="56">
        <f>SUM(F29:F39)</f>
        <v>27</v>
      </c>
      <c r="H40" s="212">
        <f t="shared" si="3"/>
        <v>1</v>
      </c>
      <c r="I40" s="365" t="str">
        <f t="shared" si="4"/>
        <v>FEIL</v>
      </c>
      <c r="N40" s="350"/>
      <c r="O40" s="348" t="b">
        <f t="shared" si="2"/>
        <v>1</v>
      </c>
      <c r="R40" s="995" t="s">
        <v>741</v>
      </c>
      <c r="S40" s="1318"/>
      <c r="T40" s="1004" t="s">
        <v>615</v>
      </c>
      <c r="U40" s="1062">
        <v>1</v>
      </c>
      <c r="V40" s="1073" t="s">
        <v>349</v>
      </c>
      <c r="W40" s="1059"/>
      <c r="AE40" s="995">
        <v>33</v>
      </c>
    </row>
    <row r="41" spans="1:31" ht="15.75" thickBot="1" x14ac:dyDescent="0.3">
      <c r="A41" s="96" t="s">
        <v>736</v>
      </c>
      <c r="B41" s="163" t="s">
        <v>697</v>
      </c>
      <c r="C41" s="931" t="s">
        <v>609</v>
      </c>
      <c r="D41" s="30"/>
      <c r="E41" s="30"/>
      <c r="H41" s="212">
        <f t="shared" si="3"/>
        <v>1</v>
      </c>
      <c r="I41" s="365" t="str">
        <f t="shared" si="4"/>
        <v>FEIL</v>
      </c>
      <c r="N41" s="351" t="s">
        <v>363</v>
      </c>
      <c r="O41" s="348" t="b">
        <f t="shared" si="2"/>
        <v>0</v>
      </c>
      <c r="R41" s="995" t="s">
        <v>742</v>
      </c>
      <c r="S41" s="1318"/>
      <c r="T41" s="1003" t="s">
        <v>616</v>
      </c>
      <c r="U41" s="1062">
        <v>1</v>
      </c>
      <c r="V41" s="1073" t="s">
        <v>349</v>
      </c>
      <c r="W41" s="1059"/>
      <c r="AE41" s="995">
        <v>34</v>
      </c>
    </row>
    <row r="42" spans="1:31" ht="15.75" thickBot="1" x14ac:dyDescent="0.3">
      <c r="A42" s="96" t="s">
        <v>961</v>
      </c>
      <c r="B42" s="163" t="s">
        <v>913</v>
      </c>
      <c r="C42" s="931" t="s">
        <v>610</v>
      </c>
      <c r="D42" s="53"/>
      <c r="E42" s="53"/>
      <c r="F42" s="53"/>
      <c r="H42" s="212">
        <f t="shared" si="3"/>
        <v>0</v>
      </c>
      <c r="I42" s="365" t="str">
        <f t="shared" si="4"/>
        <v>OK</v>
      </c>
      <c r="N42" s="354" t="s">
        <v>149</v>
      </c>
      <c r="O42" s="348" t="b">
        <f t="shared" si="2"/>
        <v>0</v>
      </c>
      <c r="R42" s="995" t="s">
        <v>743</v>
      </c>
      <c r="S42" s="1319"/>
      <c r="T42" s="1003" t="s">
        <v>842</v>
      </c>
      <c r="U42" s="1062">
        <v>1</v>
      </c>
      <c r="V42" s="1073" t="s">
        <v>349</v>
      </c>
      <c r="W42" s="1059"/>
      <c r="AE42" s="995">
        <v>35</v>
      </c>
    </row>
    <row r="43" spans="1:31" x14ac:dyDescent="0.25">
      <c r="A43" s="137" t="s">
        <v>120</v>
      </c>
      <c r="B43" s="847" t="s">
        <v>120</v>
      </c>
      <c r="C43" s="845" t="s">
        <v>114</v>
      </c>
      <c r="D43" s="50">
        <f>Poeng!S100</f>
        <v>3</v>
      </c>
      <c r="E43" s="49"/>
      <c r="F43" s="52">
        <f>Poeng!AA100</f>
        <v>3</v>
      </c>
      <c r="H43" s="975">
        <f t="shared" si="3"/>
        <v>0</v>
      </c>
      <c r="I43" s="365" t="str">
        <f t="shared" si="4"/>
        <v>FEIL</v>
      </c>
      <c r="N43" s="354" t="s">
        <v>150</v>
      </c>
      <c r="O43" s="348" t="b">
        <f t="shared" si="2"/>
        <v>0</v>
      </c>
      <c r="R43" s="995" t="s">
        <v>745</v>
      </c>
      <c r="S43" s="1005" t="s">
        <v>123</v>
      </c>
      <c r="T43" s="1008" t="s">
        <v>619</v>
      </c>
      <c r="U43" s="1064">
        <v>4</v>
      </c>
      <c r="V43" s="1073" t="s">
        <v>349</v>
      </c>
      <c r="W43" s="1059"/>
      <c r="AE43" s="995">
        <v>36</v>
      </c>
    </row>
    <row r="44" spans="1:31" ht="15.75" customHeight="1" x14ac:dyDescent="0.25">
      <c r="A44" s="96"/>
      <c r="B44" s="163" t="s">
        <v>696</v>
      </c>
      <c r="C44" s="954" t="s">
        <v>611</v>
      </c>
      <c r="D44" s="50">
        <f>Poeng!S103</f>
        <v>10</v>
      </c>
      <c r="E44" s="49"/>
      <c r="F44" s="52">
        <f>Poeng!AA103</f>
        <v>10</v>
      </c>
      <c r="H44" s="212">
        <f t="shared" si="3"/>
        <v>0</v>
      </c>
      <c r="I44" s="365" t="str">
        <f t="shared" si="4"/>
        <v>FEIL</v>
      </c>
      <c r="N44" s="354" t="s">
        <v>364</v>
      </c>
      <c r="O44" s="348" t="b">
        <f t="shared" si="2"/>
        <v>0</v>
      </c>
      <c r="R44" s="995"/>
      <c r="S44" s="1308" t="s">
        <v>124</v>
      </c>
      <c r="T44" s="1044" t="s">
        <v>843</v>
      </c>
      <c r="U44" s="1070"/>
      <c r="V44" s="1045"/>
      <c r="W44" s="1059"/>
      <c r="AE44" s="995">
        <v>37</v>
      </c>
    </row>
    <row r="45" spans="1:31" ht="15.75" customHeight="1" x14ac:dyDescent="0.25">
      <c r="A45" s="96" t="s">
        <v>738</v>
      </c>
      <c r="B45" s="163" t="s">
        <v>699</v>
      </c>
      <c r="C45" s="931" t="s">
        <v>612</v>
      </c>
      <c r="D45" s="67">
        <f>Poeng!S106</f>
        <v>0</v>
      </c>
      <c r="E45" s="49"/>
      <c r="F45" s="52">
        <f>Poeng!AA106</f>
        <v>0</v>
      </c>
      <c r="H45" s="212">
        <f t="shared" si="3"/>
        <v>1</v>
      </c>
      <c r="I45" s="365" t="str">
        <f t="shared" si="4"/>
        <v>FEIL</v>
      </c>
      <c r="N45" s="354" t="s">
        <v>365</v>
      </c>
      <c r="O45" s="348" t="b">
        <f t="shared" si="2"/>
        <v>0</v>
      </c>
      <c r="R45" s="995" t="s">
        <v>746</v>
      </c>
      <c r="S45" s="1309"/>
      <c r="T45" s="1004" t="s">
        <v>844</v>
      </c>
      <c r="U45" s="1064">
        <v>2</v>
      </c>
      <c r="V45" s="1075" t="s">
        <v>349</v>
      </c>
      <c r="W45" s="1059"/>
      <c r="AE45" s="995">
        <v>38</v>
      </c>
    </row>
    <row r="46" spans="1:31" ht="15.75" customHeight="1" x14ac:dyDescent="0.25">
      <c r="A46" s="96" t="s">
        <v>739</v>
      </c>
      <c r="B46" s="166" t="s">
        <v>700</v>
      </c>
      <c r="C46" s="931" t="s">
        <v>613</v>
      </c>
      <c r="D46" s="67">
        <f>Poeng!S107</f>
        <v>0</v>
      </c>
      <c r="E46" s="49"/>
      <c r="F46" s="52">
        <f>Poeng!AA107</f>
        <v>0</v>
      </c>
      <c r="H46" s="212">
        <f t="shared" si="3"/>
        <v>2</v>
      </c>
      <c r="I46" s="365" t="str">
        <f t="shared" si="4"/>
        <v>FEIL</v>
      </c>
      <c r="N46" s="354" t="s">
        <v>152</v>
      </c>
      <c r="O46" s="348" t="b">
        <f t="shared" si="2"/>
        <v>0</v>
      </c>
      <c r="R46" s="995" t="s">
        <v>747</v>
      </c>
      <c r="S46" s="1310"/>
      <c r="T46" s="1003" t="s">
        <v>845</v>
      </c>
      <c r="U46" s="1064">
        <v>1</v>
      </c>
      <c r="V46" s="1075" t="s">
        <v>349</v>
      </c>
      <c r="W46" s="1059"/>
      <c r="AE46" s="995">
        <v>39</v>
      </c>
    </row>
    <row r="47" spans="1:31" s="30" customFormat="1" ht="15.75" customHeight="1" x14ac:dyDescent="0.25">
      <c r="A47" s="96" t="s">
        <v>740</v>
      </c>
      <c r="B47" s="166" t="s">
        <v>698</v>
      </c>
      <c r="C47" s="931" t="s">
        <v>614</v>
      </c>
      <c r="D47" s="67">
        <f>Poeng!S108</f>
        <v>0</v>
      </c>
      <c r="E47" s="49"/>
      <c r="F47" s="52">
        <f>Poeng!AA108</f>
        <v>0</v>
      </c>
      <c r="G47"/>
      <c r="H47" s="212">
        <f t="shared" si="3"/>
        <v>1</v>
      </c>
      <c r="I47" s="365" t="str">
        <f t="shared" si="4"/>
        <v>FEIL</v>
      </c>
      <c r="J47"/>
      <c r="K47"/>
      <c r="N47" s="354" t="s">
        <v>153</v>
      </c>
      <c r="O47" s="348" t="b">
        <f t="shared" si="2"/>
        <v>0</v>
      </c>
      <c r="Q47" s="995"/>
      <c r="R47" s="995" t="s">
        <v>748</v>
      </c>
      <c r="S47" s="1005" t="s">
        <v>126</v>
      </c>
      <c r="T47" s="1008" t="s">
        <v>355</v>
      </c>
      <c r="U47" s="1062">
        <v>1</v>
      </c>
      <c r="V47" s="1073" t="s">
        <v>349</v>
      </c>
      <c r="W47" s="1059"/>
      <c r="AE47" s="995">
        <v>40</v>
      </c>
    </row>
    <row r="48" spans="1:31" ht="15.75" thickBot="1" x14ac:dyDescent="0.3">
      <c r="A48" s="137" t="s">
        <v>121</v>
      </c>
      <c r="B48" s="847" t="s">
        <v>121</v>
      </c>
      <c r="C48" s="845" t="s">
        <v>115</v>
      </c>
      <c r="D48" s="67">
        <f>Poeng!S109</f>
        <v>0</v>
      </c>
      <c r="E48" s="69"/>
      <c r="F48" s="52">
        <f>Poeng!AA109</f>
        <v>0</v>
      </c>
      <c r="G48" s="30"/>
      <c r="H48" s="975">
        <f t="shared" si="3"/>
        <v>0</v>
      </c>
      <c r="I48" s="365" t="str">
        <f t="shared" si="4"/>
        <v>OK</v>
      </c>
      <c r="J48" s="30"/>
      <c r="K48" s="30"/>
      <c r="N48" s="354" t="s">
        <v>316</v>
      </c>
      <c r="O48" s="348" t="b">
        <f t="shared" si="2"/>
        <v>0</v>
      </c>
      <c r="R48" s="995"/>
      <c r="S48" s="1001"/>
      <c r="T48" s="999"/>
      <c r="U48" s="1060"/>
      <c r="V48" s="1061"/>
      <c r="W48" s="1059"/>
      <c r="AE48" s="995">
        <v>41</v>
      </c>
    </row>
    <row r="49" spans="1:31" ht="15.75" thickBot="1" x14ac:dyDescent="0.3">
      <c r="A49" s="96" t="s">
        <v>741</v>
      </c>
      <c r="B49" s="163" t="s">
        <v>696</v>
      </c>
      <c r="C49" s="931" t="s">
        <v>615</v>
      </c>
      <c r="D49" s="56">
        <f>Poeng!S110</f>
        <v>13</v>
      </c>
      <c r="E49" s="56"/>
      <c r="F49" s="56">
        <f>SUM(F43:F48)</f>
        <v>13</v>
      </c>
      <c r="H49" s="212">
        <f t="shared" si="3"/>
        <v>1</v>
      </c>
      <c r="I49" s="365" t="str">
        <f t="shared" si="4"/>
        <v>FEIL</v>
      </c>
      <c r="N49" s="350"/>
      <c r="O49" s="348" t="b">
        <f t="shared" si="2"/>
        <v>0</v>
      </c>
      <c r="R49" s="995"/>
      <c r="S49" s="1000" t="s">
        <v>356</v>
      </c>
      <c r="T49" s="999"/>
      <c r="U49" s="1060"/>
      <c r="V49" s="1061"/>
      <c r="W49" s="1059"/>
      <c r="AE49" s="995">
        <v>42</v>
      </c>
    </row>
    <row r="50" spans="1:31" ht="15.75" thickBot="1" x14ac:dyDescent="0.3">
      <c r="A50" s="96" t="s">
        <v>742</v>
      </c>
      <c r="B50" s="163" t="s">
        <v>699</v>
      </c>
      <c r="C50" s="931" t="s">
        <v>616</v>
      </c>
      <c r="D50" s="30"/>
      <c r="E50" s="30"/>
      <c r="H50" s="212">
        <f t="shared" si="3"/>
        <v>1</v>
      </c>
      <c r="I50" s="365" t="str">
        <f t="shared" si="4"/>
        <v>FEIL</v>
      </c>
      <c r="N50" s="351" t="s">
        <v>366</v>
      </c>
      <c r="O50" s="348" t="b">
        <f t="shared" si="2"/>
        <v>0</v>
      </c>
      <c r="R50" s="995"/>
      <c r="S50" s="1308" t="s">
        <v>137</v>
      </c>
      <c r="T50" s="1044" t="s">
        <v>846</v>
      </c>
      <c r="U50" s="1070"/>
      <c r="V50" s="1045"/>
      <c r="W50" s="1059"/>
      <c r="AE50" s="995">
        <v>43</v>
      </c>
    </row>
    <row r="51" spans="1:31" ht="15.75" thickBot="1" x14ac:dyDescent="0.3">
      <c r="A51" s="96" t="s">
        <v>743</v>
      </c>
      <c r="B51" s="166" t="s">
        <v>700</v>
      </c>
      <c r="C51" s="931" t="s">
        <v>617</v>
      </c>
      <c r="D51" s="53"/>
      <c r="E51" s="53"/>
      <c r="F51" s="53"/>
      <c r="H51" s="212">
        <f t="shared" si="3"/>
        <v>1</v>
      </c>
      <c r="I51" s="365" t="str">
        <f t="shared" si="4"/>
        <v>FEIL</v>
      </c>
      <c r="N51" s="354" t="s">
        <v>171</v>
      </c>
      <c r="O51" s="348" t="b">
        <f t="shared" si="2"/>
        <v>0</v>
      </c>
      <c r="R51" s="995" t="s">
        <v>749</v>
      </c>
      <c r="S51" s="1309"/>
      <c r="T51" s="1004" t="s">
        <v>623</v>
      </c>
      <c r="U51" s="1062">
        <v>2</v>
      </c>
      <c r="V51" s="1072" t="s">
        <v>349</v>
      </c>
      <c r="W51" s="1059"/>
      <c r="AE51" s="995">
        <v>44</v>
      </c>
    </row>
    <row r="52" spans="1:31" x14ac:dyDescent="0.25">
      <c r="A52" s="96"/>
      <c r="B52" s="712" t="s">
        <v>122</v>
      </c>
      <c r="C52" s="713"/>
      <c r="D52" s="52">
        <f>Poeng!S113</f>
        <v>5</v>
      </c>
      <c r="E52" s="51"/>
      <c r="F52" s="52">
        <f>Poeng!AA113</f>
        <v>5</v>
      </c>
      <c r="H52" s="976">
        <f t="shared" si="3"/>
        <v>0</v>
      </c>
      <c r="I52" s="365" t="str">
        <f t="shared" si="4"/>
        <v>FEIL</v>
      </c>
      <c r="N52" s="354" t="s">
        <v>172</v>
      </c>
      <c r="O52" s="348" t="b">
        <f t="shared" si="2"/>
        <v>0</v>
      </c>
      <c r="R52" s="995" t="s">
        <v>750</v>
      </c>
      <c r="S52" s="1309"/>
      <c r="T52" s="1003" t="s">
        <v>624</v>
      </c>
      <c r="U52" s="1062">
        <v>1</v>
      </c>
      <c r="V52" s="1072" t="s">
        <v>349</v>
      </c>
      <c r="W52" s="1059"/>
      <c r="AE52" s="995">
        <v>45</v>
      </c>
    </row>
    <row r="53" spans="1:31" x14ac:dyDescent="0.25">
      <c r="A53" s="137" t="s">
        <v>123</v>
      </c>
      <c r="B53" s="847" t="s">
        <v>123</v>
      </c>
      <c r="C53" s="845" t="s">
        <v>129</v>
      </c>
      <c r="D53" s="50">
        <f>Poeng!S115</f>
        <v>1</v>
      </c>
      <c r="E53" s="49"/>
      <c r="F53" s="52">
        <f>Poeng!AA115</f>
        <v>1</v>
      </c>
      <c r="H53" s="975">
        <f t="shared" si="3"/>
        <v>0</v>
      </c>
      <c r="I53" s="365" t="str">
        <f t="shared" si="4"/>
        <v>FEIL</v>
      </c>
      <c r="N53" s="354" t="s">
        <v>173</v>
      </c>
      <c r="O53" s="348" t="b">
        <f t="shared" si="2"/>
        <v>0</v>
      </c>
      <c r="R53" s="995" t="s">
        <v>751</v>
      </c>
      <c r="S53" s="1309"/>
      <c r="T53" s="1003" t="s">
        <v>625</v>
      </c>
      <c r="U53" s="1062">
        <v>4</v>
      </c>
      <c r="V53" s="1072" t="s">
        <v>349</v>
      </c>
      <c r="W53" s="1059"/>
      <c r="AE53" s="995">
        <v>46</v>
      </c>
    </row>
    <row r="54" spans="1:31" x14ac:dyDescent="0.25">
      <c r="A54" s="96"/>
      <c r="B54" s="163" t="s">
        <v>696</v>
      </c>
      <c r="C54" s="954" t="s">
        <v>618</v>
      </c>
      <c r="D54" s="50">
        <f>Poeng!S117</f>
        <v>2</v>
      </c>
      <c r="E54" s="49"/>
      <c r="F54" s="52">
        <f>Poeng!AA117</f>
        <v>2</v>
      </c>
      <c r="H54" s="212">
        <f t="shared" si="3"/>
        <v>0</v>
      </c>
      <c r="I54" s="365" t="str">
        <f t="shared" si="4"/>
        <v>FEIL</v>
      </c>
      <c r="N54" s="354" t="s">
        <v>174</v>
      </c>
      <c r="O54" s="348" t="b">
        <f t="shared" si="2"/>
        <v>0</v>
      </c>
      <c r="R54" s="995" t="s">
        <v>752</v>
      </c>
      <c r="S54" s="1309"/>
      <c r="T54" s="1003" t="s">
        <v>626</v>
      </c>
      <c r="U54" s="1062">
        <v>1</v>
      </c>
      <c r="V54" s="1072" t="s">
        <v>349</v>
      </c>
      <c r="W54" s="1059"/>
      <c r="AE54" s="995">
        <v>47</v>
      </c>
    </row>
    <row r="55" spans="1:31" ht="15.75" thickBot="1" x14ac:dyDescent="0.3">
      <c r="A55" s="96" t="s">
        <v>745</v>
      </c>
      <c r="B55" s="163" t="s">
        <v>699</v>
      </c>
      <c r="C55" s="931" t="s">
        <v>619</v>
      </c>
      <c r="D55" s="50">
        <f>Poeng!S121</f>
        <v>1</v>
      </c>
      <c r="E55" s="49"/>
      <c r="F55" s="52">
        <f>Poeng!AA121</f>
        <v>1</v>
      </c>
      <c r="H55" s="212">
        <f t="shared" si="3"/>
        <v>4</v>
      </c>
      <c r="I55" s="365" t="str">
        <f t="shared" si="4"/>
        <v>FEIL</v>
      </c>
      <c r="N55" s="350"/>
      <c r="O55" s="348" t="b">
        <f t="shared" si="2"/>
        <v>1</v>
      </c>
      <c r="R55" s="995" t="s">
        <v>753</v>
      </c>
      <c r="S55" s="1310"/>
      <c r="T55" s="1003" t="s">
        <v>627</v>
      </c>
      <c r="U55" s="1062">
        <v>4</v>
      </c>
      <c r="V55" s="1072" t="s">
        <v>349</v>
      </c>
      <c r="W55" s="1059"/>
      <c r="AE55" s="995">
        <v>48</v>
      </c>
    </row>
    <row r="56" spans="1:31" ht="15.75" thickBot="1" x14ac:dyDescent="0.3">
      <c r="A56" s="137" t="s">
        <v>124</v>
      </c>
      <c r="B56" s="847" t="s">
        <v>124</v>
      </c>
      <c r="C56" s="845" t="s">
        <v>116</v>
      </c>
      <c r="D56" s="56">
        <f>Poeng!S123</f>
        <v>9</v>
      </c>
      <c r="E56" s="56"/>
      <c r="F56" s="56">
        <f>SUM(F52:F55)</f>
        <v>9</v>
      </c>
      <c r="H56" s="975">
        <f t="shared" si="3"/>
        <v>0</v>
      </c>
      <c r="I56" s="365" t="str">
        <f t="shared" si="4"/>
        <v>FEIL</v>
      </c>
      <c r="N56" s="351" t="s">
        <v>371</v>
      </c>
      <c r="O56" s="348" t="b">
        <f t="shared" si="2"/>
        <v>0</v>
      </c>
      <c r="R56" s="995"/>
      <c r="S56" s="1308" t="s">
        <v>138</v>
      </c>
      <c r="T56" s="1046" t="s">
        <v>847</v>
      </c>
      <c r="U56" s="1047"/>
      <c r="V56" s="1048"/>
      <c r="W56" s="1059"/>
      <c r="AE56" s="995">
        <v>49</v>
      </c>
    </row>
    <row r="57" spans="1:31" ht="15.75" thickBot="1" x14ac:dyDescent="0.3">
      <c r="A57" s="96" t="s">
        <v>746</v>
      </c>
      <c r="B57" s="163" t="s">
        <v>696</v>
      </c>
      <c r="C57" s="931" t="s">
        <v>620</v>
      </c>
      <c r="D57" s="30"/>
      <c r="E57" s="30"/>
      <c r="H57" s="212">
        <f t="shared" si="3"/>
        <v>2</v>
      </c>
      <c r="I57" s="365" t="str">
        <f t="shared" si="4"/>
        <v>FEIL</v>
      </c>
      <c r="N57" s="354" t="s">
        <v>175</v>
      </c>
      <c r="O57" s="348" t="b">
        <f t="shared" si="2"/>
        <v>0</v>
      </c>
      <c r="R57" s="995" t="s">
        <v>255</v>
      </c>
      <c r="S57" s="1309"/>
      <c r="T57" s="1003" t="s">
        <v>628</v>
      </c>
      <c r="U57" s="1062">
        <v>1</v>
      </c>
      <c r="V57" s="1076" t="s">
        <v>349</v>
      </c>
      <c r="W57" s="1059"/>
      <c r="AE57" s="995">
        <v>50</v>
      </c>
    </row>
    <row r="58" spans="1:31" ht="15.75" thickBot="1" x14ac:dyDescent="0.3">
      <c r="A58" s="96" t="s">
        <v>747</v>
      </c>
      <c r="B58" s="163" t="s">
        <v>699</v>
      </c>
      <c r="C58" s="931" t="s">
        <v>621</v>
      </c>
      <c r="D58" s="53"/>
      <c r="E58" s="53"/>
      <c r="F58" s="53"/>
      <c r="H58" s="212">
        <f t="shared" si="3"/>
        <v>1</v>
      </c>
      <c r="I58" s="365" t="str">
        <f t="shared" si="4"/>
        <v>FEIL</v>
      </c>
      <c r="N58" s="354" t="s">
        <v>176</v>
      </c>
      <c r="O58" s="348" t="b">
        <f t="shared" si="2"/>
        <v>0</v>
      </c>
      <c r="R58" s="995" t="s">
        <v>357</v>
      </c>
      <c r="S58" s="1309"/>
      <c r="T58" s="1003" t="s">
        <v>629</v>
      </c>
      <c r="U58" s="1062">
        <v>1</v>
      </c>
      <c r="V58" s="1076" t="s">
        <v>349</v>
      </c>
      <c r="W58" s="1059"/>
      <c r="AE58" s="995">
        <v>51</v>
      </c>
    </row>
    <row r="59" spans="1:31" s="367" customFormat="1" x14ac:dyDescent="0.25">
      <c r="A59" s="96"/>
      <c r="B59" s="712" t="s">
        <v>125</v>
      </c>
      <c r="C59" s="711"/>
      <c r="D59" s="52">
        <f>Poeng!S126</f>
        <v>5</v>
      </c>
      <c r="E59" s="51"/>
      <c r="F59" s="52">
        <f>Poeng!AA126</f>
        <v>5</v>
      </c>
      <c r="G59"/>
      <c r="H59" s="976">
        <f t="shared" si="3"/>
        <v>0</v>
      </c>
      <c r="I59" s="365" t="str">
        <f t="shared" si="4"/>
        <v>FEIL</v>
      </c>
      <c r="J59"/>
      <c r="K59"/>
      <c r="N59" s="369"/>
      <c r="Q59" s="995"/>
      <c r="R59" s="995" t="s">
        <v>754</v>
      </c>
      <c r="S59" s="1310"/>
      <c r="T59" s="1003" t="s">
        <v>630</v>
      </c>
      <c r="U59" s="1062">
        <v>1</v>
      </c>
      <c r="V59" s="1076" t="s">
        <v>349</v>
      </c>
      <c r="W59" s="1059"/>
      <c r="AE59" s="995">
        <v>52</v>
      </c>
    </row>
    <row r="60" spans="1:31" x14ac:dyDescent="0.25">
      <c r="A60" s="137" t="s">
        <v>126</v>
      </c>
      <c r="B60" s="847" t="s">
        <v>126</v>
      </c>
      <c r="C60" s="845" t="s">
        <v>118</v>
      </c>
      <c r="D60" s="52">
        <f>Poeng!S130</f>
        <v>3</v>
      </c>
      <c r="E60" s="51"/>
      <c r="F60" s="52">
        <f>Poeng!AA130</f>
        <v>3</v>
      </c>
      <c r="G60" s="367"/>
      <c r="H60" s="975">
        <f t="shared" si="3"/>
        <v>0</v>
      </c>
      <c r="I60" s="365" t="str">
        <f t="shared" si="4"/>
        <v>FEIL</v>
      </c>
      <c r="J60" s="367"/>
      <c r="K60" s="367"/>
      <c r="N60" s="354" t="s">
        <v>177</v>
      </c>
      <c r="O60" s="348" t="b">
        <f t="shared" si="2"/>
        <v>0</v>
      </c>
      <c r="R60" s="995" t="s">
        <v>755</v>
      </c>
      <c r="S60" s="1005" t="s">
        <v>139</v>
      </c>
      <c r="T60" s="1013" t="s">
        <v>358</v>
      </c>
      <c r="U60" s="1062">
        <v>1</v>
      </c>
      <c r="V60" s="1076" t="s">
        <v>349</v>
      </c>
      <c r="W60" s="1059"/>
      <c r="AE60" s="995">
        <v>53</v>
      </c>
    </row>
    <row r="61" spans="1:31" x14ac:dyDescent="0.25">
      <c r="A61" s="96" t="s">
        <v>748</v>
      </c>
      <c r="B61" s="192" t="s">
        <v>696</v>
      </c>
      <c r="C61" s="931" t="s">
        <v>622</v>
      </c>
      <c r="D61" s="52">
        <f>Poeng!S134</f>
        <v>3</v>
      </c>
      <c r="E61" s="49"/>
      <c r="F61" s="52">
        <f>Poeng!AA134</f>
        <v>3</v>
      </c>
      <c r="H61" s="212">
        <f t="shared" si="3"/>
        <v>1</v>
      </c>
      <c r="I61" s="365" t="str">
        <f t="shared" si="4"/>
        <v>FEIL</v>
      </c>
      <c r="N61" s="350"/>
      <c r="O61" s="348" t="b">
        <f t="shared" si="2"/>
        <v>0</v>
      </c>
      <c r="R61" s="995"/>
      <c r="S61" s="1308" t="s">
        <v>141</v>
      </c>
      <c r="T61" s="1041" t="s">
        <v>359</v>
      </c>
      <c r="U61" s="1069"/>
      <c r="V61" s="1043"/>
      <c r="W61" s="1059"/>
      <c r="AE61" s="995">
        <v>54</v>
      </c>
    </row>
    <row r="62" spans="1:31" s="367" customFormat="1" ht="15.75" thickBot="1" x14ac:dyDescent="0.3">
      <c r="A62" s="96"/>
      <c r="B62" s="714" t="s">
        <v>127</v>
      </c>
      <c r="C62" s="715"/>
      <c r="D62" s="52">
        <f>Poeng!S138</f>
        <v>4</v>
      </c>
      <c r="E62" s="49"/>
      <c r="F62" s="52">
        <f>Poeng!AA138</f>
        <v>4</v>
      </c>
      <c r="G62"/>
      <c r="H62" s="976">
        <f t="shared" si="3"/>
        <v>0</v>
      </c>
      <c r="I62" s="365" t="str">
        <f t="shared" si="4"/>
        <v>FEIL</v>
      </c>
      <c r="J62"/>
      <c r="K62"/>
      <c r="N62" s="368"/>
      <c r="Q62" s="995"/>
      <c r="R62" s="995" t="s">
        <v>757</v>
      </c>
      <c r="S62" s="1309"/>
      <c r="T62" s="1003" t="s">
        <v>633</v>
      </c>
      <c r="U62" s="1065">
        <v>0</v>
      </c>
      <c r="V62" s="1077" t="s">
        <v>354</v>
      </c>
      <c r="W62" s="1059"/>
      <c r="AE62" s="995">
        <v>55</v>
      </c>
    </row>
    <row r="63" spans="1:31" ht="15.75" thickBot="1" x14ac:dyDescent="0.3">
      <c r="A63" s="96" t="s">
        <v>887</v>
      </c>
      <c r="B63" s="201"/>
      <c r="C63" s="202" t="s">
        <v>216</v>
      </c>
      <c r="D63" s="52">
        <f>Poeng!S144</f>
        <v>3</v>
      </c>
      <c r="E63" s="49"/>
      <c r="F63" s="52">
        <f>Poeng!AA144</f>
        <v>3</v>
      </c>
      <c r="G63" s="367"/>
      <c r="H63" s="226">
        <f t="shared" si="3"/>
        <v>0</v>
      </c>
      <c r="I63" s="365" t="str">
        <f t="shared" si="4"/>
        <v>FEIL</v>
      </c>
      <c r="J63" s="367"/>
      <c r="K63" s="367"/>
      <c r="N63" s="351" t="s">
        <v>373</v>
      </c>
      <c r="O63" s="348" t="b">
        <f t="shared" si="2"/>
        <v>0</v>
      </c>
      <c r="R63" s="995" t="s">
        <v>758</v>
      </c>
      <c r="S63" s="1310"/>
      <c r="T63" s="1003" t="s">
        <v>634</v>
      </c>
      <c r="U63" s="1065">
        <v>0</v>
      </c>
      <c r="V63" s="1077" t="s">
        <v>354</v>
      </c>
      <c r="W63" s="1059"/>
      <c r="AE63" s="995">
        <v>56</v>
      </c>
    </row>
    <row r="64" spans="1:31" ht="15.75" thickBot="1" x14ac:dyDescent="0.3">
      <c r="A64" s="96"/>
      <c r="B64" s="96"/>
      <c r="C64" s="96"/>
      <c r="D64" s="52">
        <f>Poeng!S148</f>
        <v>3</v>
      </c>
      <c r="E64" s="49"/>
      <c r="F64" s="52">
        <f>Poeng!AA148</f>
        <v>3</v>
      </c>
      <c r="H64" s="96">
        <f t="shared" si="3"/>
        <v>0</v>
      </c>
      <c r="I64" s="365" t="str">
        <f t="shared" si="4"/>
        <v>FEIL</v>
      </c>
      <c r="N64" s="354" t="s">
        <v>179</v>
      </c>
      <c r="O64" s="348" t="b">
        <f t="shared" si="2"/>
        <v>0</v>
      </c>
      <c r="R64" s="995"/>
      <c r="S64" s="1308" t="s">
        <v>142</v>
      </c>
      <c r="T64" s="1041" t="s">
        <v>360</v>
      </c>
      <c r="U64" s="1069"/>
      <c r="V64" s="1043"/>
      <c r="W64" s="1059"/>
      <c r="AE64" s="995">
        <v>57</v>
      </c>
    </row>
    <row r="65" spans="1:31" ht="15.75" thickBot="1" x14ac:dyDescent="0.3">
      <c r="A65" s="96"/>
      <c r="B65" s="145"/>
      <c r="C65" s="146" t="s">
        <v>68</v>
      </c>
      <c r="D65" s="56">
        <f>Poeng!S152</f>
        <v>21</v>
      </c>
      <c r="E65" s="56"/>
      <c r="F65" s="56">
        <f>SUM(F59:F64)</f>
        <v>21</v>
      </c>
      <c r="H65" s="138">
        <f t="shared" si="3"/>
        <v>0</v>
      </c>
      <c r="I65" s="365" t="str">
        <f t="shared" si="4"/>
        <v>FEIL</v>
      </c>
      <c r="N65" s="354" t="s">
        <v>180</v>
      </c>
      <c r="O65" s="348" t="b">
        <f t="shared" si="2"/>
        <v>0</v>
      </c>
      <c r="R65" s="995" t="s">
        <v>759</v>
      </c>
      <c r="S65" s="1309"/>
      <c r="T65" s="1003" t="s">
        <v>635</v>
      </c>
      <c r="U65" s="1062">
        <v>1</v>
      </c>
      <c r="V65" s="1072" t="s">
        <v>349</v>
      </c>
      <c r="W65" s="1059"/>
      <c r="AE65" s="995">
        <v>58</v>
      </c>
    </row>
    <row r="66" spans="1:31" ht="15.75" thickBot="1" x14ac:dyDescent="0.3">
      <c r="A66" s="137" t="s">
        <v>137</v>
      </c>
      <c r="B66" s="846" t="s">
        <v>137</v>
      </c>
      <c r="C66" s="844" t="s">
        <v>130</v>
      </c>
      <c r="D66" s="30"/>
      <c r="E66" s="30"/>
      <c r="H66" s="150">
        <f t="shared" si="3"/>
        <v>0</v>
      </c>
      <c r="I66" s="365" t="str">
        <f t="shared" si="4"/>
        <v>OK</v>
      </c>
      <c r="N66" s="354" t="s">
        <v>375</v>
      </c>
      <c r="O66" s="348" t="b">
        <f t="shared" si="2"/>
        <v>0</v>
      </c>
      <c r="R66" s="995" t="s">
        <v>760</v>
      </c>
      <c r="S66" s="1310"/>
      <c r="T66" s="1003" t="s">
        <v>636</v>
      </c>
      <c r="U66" s="1062">
        <v>1</v>
      </c>
      <c r="V66" s="1072" t="s">
        <v>349</v>
      </c>
      <c r="W66" s="1059"/>
      <c r="AE66" s="995">
        <v>59</v>
      </c>
    </row>
    <row r="67" spans="1:31" ht="15.75" thickBot="1" x14ac:dyDescent="0.3">
      <c r="A67" s="96" t="s">
        <v>749</v>
      </c>
      <c r="B67" s="163" t="s">
        <v>696</v>
      </c>
      <c r="C67" s="931" t="s">
        <v>623</v>
      </c>
      <c r="D67" s="53"/>
      <c r="E67" s="53"/>
      <c r="F67" s="53"/>
      <c r="H67" s="221">
        <f t="shared" si="3"/>
        <v>2</v>
      </c>
      <c r="I67" s="365" t="str">
        <f t="shared" si="4"/>
        <v>FEIL</v>
      </c>
      <c r="N67" s="354" t="s">
        <v>377</v>
      </c>
      <c r="O67" s="348" t="b">
        <f t="shared" si="2"/>
        <v>0</v>
      </c>
      <c r="R67" s="995"/>
      <c r="S67" s="1308" t="s">
        <v>143</v>
      </c>
      <c r="T67" s="1041" t="s">
        <v>361</v>
      </c>
      <c r="U67" s="1069"/>
      <c r="V67" s="1043"/>
      <c r="W67" s="1059"/>
      <c r="AE67" s="995">
        <v>60</v>
      </c>
    </row>
    <row r="68" spans="1:31" ht="15" customHeight="1" x14ac:dyDescent="0.25">
      <c r="A68" s="96" t="s">
        <v>750</v>
      </c>
      <c r="B68" s="163" t="s">
        <v>699</v>
      </c>
      <c r="C68" s="931" t="s">
        <v>624</v>
      </c>
      <c r="D68" s="52">
        <f>Poeng!S155</f>
        <v>5</v>
      </c>
      <c r="E68" s="51"/>
      <c r="F68" s="52">
        <f>Poeng!AA155</f>
        <v>5</v>
      </c>
      <c r="H68" s="221">
        <f t="shared" si="3"/>
        <v>1</v>
      </c>
      <c r="I68" s="365" t="str">
        <f t="shared" si="4"/>
        <v>FEIL</v>
      </c>
      <c r="N68" s="354" t="s">
        <v>181</v>
      </c>
      <c r="O68" s="348" t="b">
        <f t="shared" si="2"/>
        <v>0</v>
      </c>
      <c r="R68" s="995" t="s">
        <v>761</v>
      </c>
      <c r="S68" s="1309"/>
      <c r="T68" s="1003" t="s">
        <v>637</v>
      </c>
      <c r="U68" s="1062">
        <v>0</v>
      </c>
      <c r="V68" s="1072" t="s">
        <v>354</v>
      </c>
      <c r="W68" s="1059"/>
      <c r="AE68" s="995">
        <v>61</v>
      </c>
    </row>
    <row r="69" spans="1:31" x14ac:dyDescent="0.25">
      <c r="A69" s="96" t="s">
        <v>751</v>
      </c>
      <c r="B69" s="163" t="s">
        <v>700</v>
      </c>
      <c r="C69" s="931" t="s">
        <v>625</v>
      </c>
      <c r="D69" s="50">
        <f>Poeng!S159</f>
        <v>0</v>
      </c>
      <c r="E69" s="49"/>
      <c r="F69" s="52">
        <f>Poeng!AA159</f>
        <v>0</v>
      </c>
      <c r="H69" s="221">
        <f t="shared" si="3"/>
        <v>4</v>
      </c>
      <c r="I69" s="365" t="str">
        <f t="shared" si="4"/>
        <v>FEIL</v>
      </c>
      <c r="N69" s="350"/>
      <c r="O69" s="348" t="b">
        <f t="shared" si="2"/>
        <v>1</v>
      </c>
      <c r="R69" s="995" t="s">
        <v>762</v>
      </c>
      <c r="S69" s="1310"/>
      <c r="T69" s="1003" t="s">
        <v>638</v>
      </c>
      <c r="U69" s="1062">
        <v>0</v>
      </c>
      <c r="V69" s="1072" t="s">
        <v>354</v>
      </c>
      <c r="W69" s="1059"/>
      <c r="AE69" s="995">
        <v>62</v>
      </c>
    </row>
    <row r="70" spans="1:31" x14ac:dyDescent="0.25">
      <c r="A70" s="96" t="s">
        <v>752</v>
      </c>
      <c r="B70" s="163" t="s">
        <v>698</v>
      </c>
      <c r="C70" s="931" t="s">
        <v>626</v>
      </c>
      <c r="D70" s="50">
        <f>Poeng!S160</f>
        <v>1</v>
      </c>
      <c r="E70" s="49"/>
      <c r="F70" s="52">
        <f>Poeng!AA160</f>
        <v>1</v>
      </c>
      <c r="H70" s="221">
        <f t="shared" si="3"/>
        <v>1</v>
      </c>
      <c r="I70" s="365" t="str">
        <f t="shared" si="4"/>
        <v>OK</v>
      </c>
      <c r="N70" s="351" t="s">
        <v>379</v>
      </c>
      <c r="O70" s="348" t="b">
        <f t="shared" si="2"/>
        <v>0</v>
      </c>
      <c r="R70" s="995" t="s">
        <v>763</v>
      </c>
      <c r="S70" s="1005" t="s">
        <v>144</v>
      </c>
      <c r="T70" s="1008" t="s">
        <v>362</v>
      </c>
      <c r="U70" s="1062">
        <v>2</v>
      </c>
      <c r="V70" s="1072" t="s">
        <v>349</v>
      </c>
      <c r="W70" s="1059"/>
      <c r="AE70" s="995">
        <v>63</v>
      </c>
    </row>
    <row r="71" spans="1:31" ht="15.75" thickBot="1" x14ac:dyDescent="0.3">
      <c r="A71" s="96" t="s">
        <v>753</v>
      </c>
      <c r="B71" s="163" t="s">
        <v>697</v>
      </c>
      <c r="C71" s="931" t="s">
        <v>627</v>
      </c>
      <c r="D71" s="50">
        <f>Poeng!S164</f>
        <v>1</v>
      </c>
      <c r="E71" s="49"/>
      <c r="F71" s="52">
        <f>Poeng!AA164</f>
        <v>1</v>
      </c>
      <c r="H71" s="221">
        <f t="shared" si="3"/>
        <v>4</v>
      </c>
      <c r="I71" s="365" t="str">
        <f t="shared" si="4"/>
        <v>FEIL</v>
      </c>
      <c r="N71" s="354" t="s">
        <v>182</v>
      </c>
      <c r="O71" s="348" t="b">
        <f t="shared" si="2"/>
        <v>0</v>
      </c>
      <c r="R71" s="995"/>
      <c r="S71" s="1001"/>
      <c r="T71" s="999"/>
      <c r="U71" s="1060"/>
      <c r="V71" s="1061"/>
      <c r="W71" s="1059"/>
      <c r="AE71" s="995">
        <v>64</v>
      </c>
    </row>
    <row r="72" spans="1:31" ht="15.75" thickBot="1" x14ac:dyDescent="0.3">
      <c r="A72" s="137" t="s">
        <v>138</v>
      </c>
      <c r="B72" s="847" t="s">
        <v>138</v>
      </c>
      <c r="C72" s="845" t="s">
        <v>136</v>
      </c>
      <c r="D72" s="56">
        <f>Poeng!S166</f>
        <v>7</v>
      </c>
      <c r="E72" s="56"/>
      <c r="F72" s="56">
        <f>SUM(F68:F71)</f>
        <v>7</v>
      </c>
      <c r="H72" s="977">
        <f t="shared" ref="H72:H135" si="5">SUMIF($R$7:$R$182,A72,$U$7:$U$182)</f>
        <v>0</v>
      </c>
      <c r="I72" s="365" t="str">
        <f t="shared" si="4"/>
        <v>FEIL</v>
      </c>
      <c r="N72" s="354" t="s">
        <v>183</v>
      </c>
      <c r="O72" s="348" t="b">
        <f t="shared" si="2"/>
        <v>0</v>
      </c>
      <c r="R72" s="995"/>
      <c r="S72" s="1000" t="s">
        <v>363</v>
      </c>
      <c r="T72" s="999"/>
      <c r="U72" s="1060"/>
      <c r="V72" s="1061"/>
      <c r="W72" s="1059"/>
      <c r="AE72" s="995">
        <v>65</v>
      </c>
    </row>
    <row r="73" spans="1:31" ht="15.75" thickBot="1" x14ac:dyDescent="0.3">
      <c r="A73" s="96" t="s">
        <v>255</v>
      </c>
      <c r="B73" s="163" t="s">
        <v>696</v>
      </c>
      <c r="C73" s="931" t="s">
        <v>628</v>
      </c>
      <c r="D73" s="30"/>
      <c r="E73" s="30"/>
      <c r="H73" s="221">
        <f t="shared" si="5"/>
        <v>1</v>
      </c>
      <c r="I73" s="365" t="str">
        <f t="shared" si="4"/>
        <v>FEIL</v>
      </c>
      <c r="N73" s="354" t="s">
        <v>184</v>
      </c>
      <c r="O73" s="348" t="b">
        <f t="shared" ref="O73:O97" si="6">N73=S73</f>
        <v>0</v>
      </c>
      <c r="R73" s="995"/>
      <c r="S73" s="1308" t="s">
        <v>149</v>
      </c>
      <c r="T73" s="1041" t="s">
        <v>848</v>
      </c>
      <c r="U73" s="1069"/>
      <c r="V73" s="1069"/>
      <c r="W73" s="1059"/>
      <c r="AE73" s="995">
        <v>66</v>
      </c>
    </row>
    <row r="74" spans="1:31" ht="15.75" thickBot="1" x14ac:dyDescent="0.3">
      <c r="A74" s="96" t="s">
        <v>357</v>
      </c>
      <c r="B74" s="163" t="s">
        <v>699</v>
      </c>
      <c r="C74" s="931" t="s">
        <v>629</v>
      </c>
      <c r="D74" s="53"/>
      <c r="E74" s="53"/>
      <c r="F74" s="53"/>
      <c r="H74" s="221">
        <f t="shared" si="5"/>
        <v>1</v>
      </c>
      <c r="I74" s="365" t="str">
        <f t="shared" si="4"/>
        <v>FEIL</v>
      </c>
      <c r="N74" s="354" t="s">
        <v>185</v>
      </c>
      <c r="O74" s="348" t="b">
        <f t="shared" si="6"/>
        <v>0</v>
      </c>
      <c r="R74" s="995" t="s">
        <v>764</v>
      </c>
      <c r="S74" s="1309"/>
      <c r="T74" s="1003" t="s">
        <v>640</v>
      </c>
      <c r="U74" s="1062">
        <v>2</v>
      </c>
      <c r="V74" s="1075" t="s">
        <v>349</v>
      </c>
      <c r="W74" s="1059"/>
      <c r="AE74" s="995">
        <v>67</v>
      </c>
    </row>
    <row r="75" spans="1:31" x14ac:dyDescent="0.25">
      <c r="A75" s="96" t="s">
        <v>754</v>
      </c>
      <c r="B75" s="166" t="s">
        <v>700</v>
      </c>
      <c r="C75" s="931" t="s">
        <v>630</v>
      </c>
      <c r="D75" s="52">
        <f>Poeng!S169</f>
        <v>2</v>
      </c>
      <c r="E75" s="51"/>
      <c r="F75" s="52">
        <f>Poeng!AA169</f>
        <v>2</v>
      </c>
      <c r="H75" s="221">
        <f t="shared" si="5"/>
        <v>1</v>
      </c>
      <c r="I75" s="365" t="str">
        <f t="shared" ref="I75:I107" si="7">IF(F75=H75,"OK","FEIL")</f>
        <v>FEIL</v>
      </c>
      <c r="N75" s="354" t="s">
        <v>186</v>
      </c>
      <c r="O75" s="348" t="b">
        <f t="shared" si="6"/>
        <v>0</v>
      </c>
      <c r="R75" s="995" t="s">
        <v>765</v>
      </c>
      <c r="S75" s="1310"/>
      <c r="T75" s="1003" t="s">
        <v>641</v>
      </c>
      <c r="U75" s="1067">
        <v>1</v>
      </c>
      <c r="V75" s="1078" t="s">
        <v>349</v>
      </c>
      <c r="W75" s="1059"/>
      <c r="AE75" s="995">
        <v>68</v>
      </c>
    </row>
    <row r="76" spans="1:31" s="367" customFormat="1" x14ac:dyDescent="0.25">
      <c r="A76" s="137" t="s">
        <v>139</v>
      </c>
      <c r="B76" s="956" t="s">
        <v>139</v>
      </c>
      <c r="C76" s="845" t="s">
        <v>131</v>
      </c>
      <c r="D76" s="50">
        <f>Poeng!S171</f>
        <v>2</v>
      </c>
      <c r="E76" s="49"/>
      <c r="F76" s="52">
        <f>Poeng!AA171</f>
        <v>2</v>
      </c>
      <c r="G76"/>
      <c r="H76" s="977">
        <f t="shared" si="5"/>
        <v>0</v>
      </c>
      <c r="I76" s="365" t="str">
        <f t="shared" si="7"/>
        <v>FEIL</v>
      </c>
      <c r="J76"/>
      <c r="K76"/>
      <c r="N76" s="369"/>
      <c r="Q76" s="995"/>
      <c r="R76" s="995" t="s">
        <v>767</v>
      </c>
      <c r="S76" s="1005" t="s">
        <v>150</v>
      </c>
      <c r="T76" s="1008" t="s">
        <v>849</v>
      </c>
      <c r="U76" s="1067">
        <v>10</v>
      </c>
      <c r="V76" s="1078" t="s">
        <v>349</v>
      </c>
      <c r="W76" s="1059"/>
      <c r="AE76" s="995">
        <v>69</v>
      </c>
    </row>
    <row r="77" spans="1:31" x14ac:dyDescent="0.25">
      <c r="A77" s="96" t="s">
        <v>755</v>
      </c>
      <c r="B77" s="163" t="s">
        <v>696</v>
      </c>
      <c r="C77" s="931" t="s">
        <v>631</v>
      </c>
      <c r="D77" s="50">
        <f>Poeng!S175</f>
        <v>3</v>
      </c>
      <c r="E77" s="49"/>
      <c r="F77" s="52">
        <f>Poeng!AA175</f>
        <v>3</v>
      </c>
      <c r="G77" s="367"/>
      <c r="H77" s="221">
        <f t="shared" si="5"/>
        <v>1</v>
      </c>
      <c r="I77" s="365"/>
      <c r="J77" s="367"/>
      <c r="K77" s="367"/>
      <c r="N77" s="350"/>
      <c r="O77" s="348" t="b">
        <f t="shared" si="6"/>
        <v>1</v>
      </c>
      <c r="R77" s="995"/>
      <c r="S77" s="1001"/>
      <c r="T77" s="999"/>
      <c r="U77" s="1060"/>
      <c r="V77" s="1061"/>
      <c r="W77" s="1059"/>
      <c r="AE77" s="995">
        <v>70</v>
      </c>
    </row>
    <row r="78" spans="1:31" x14ac:dyDescent="0.25">
      <c r="A78" s="96" t="s">
        <v>756</v>
      </c>
      <c r="B78" s="163" t="s">
        <v>699</v>
      </c>
      <c r="C78" s="931" t="s">
        <v>632</v>
      </c>
      <c r="D78" s="50">
        <f>Poeng!S179</f>
        <v>4</v>
      </c>
      <c r="E78" s="49"/>
      <c r="F78" s="52">
        <f>Poeng!AA179</f>
        <v>4</v>
      </c>
      <c r="H78" s="1050">
        <f>H77</f>
        <v>1</v>
      </c>
      <c r="I78" s="365" t="str">
        <f t="shared" si="7"/>
        <v>FEIL</v>
      </c>
      <c r="N78" s="351" t="s">
        <v>382</v>
      </c>
      <c r="O78" s="348" t="b">
        <f t="shared" si="6"/>
        <v>0</v>
      </c>
      <c r="R78" s="995"/>
      <c r="S78" s="1000" t="s">
        <v>366</v>
      </c>
      <c r="T78" s="999"/>
      <c r="U78" s="1060"/>
      <c r="V78" s="1061"/>
      <c r="W78" s="1059"/>
      <c r="AE78" s="995">
        <v>71</v>
      </c>
    </row>
    <row r="79" spans="1:31" x14ac:dyDescent="0.25">
      <c r="A79" s="96"/>
      <c r="B79" s="712" t="s">
        <v>140</v>
      </c>
      <c r="C79" s="711"/>
      <c r="D79" s="50">
        <f>Poeng!S183</f>
        <v>2</v>
      </c>
      <c r="E79" s="49"/>
      <c r="F79" s="52">
        <f>Poeng!AA183</f>
        <v>2</v>
      </c>
      <c r="H79" s="970">
        <f t="shared" si="5"/>
        <v>0</v>
      </c>
      <c r="I79" s="365" t="str">
        <f t="shared" si="7"/>
        <v>FEIL</v>
      </c>
      <c r="N79" s="354" t="s">
        <v>383</v>
      </c>
      <c r="O79" s="348" t="b">
        <f t="shared" si="6"/>
        <v>0</v>
      </c>
      <c r="R79" s="995" t="s">
        <v>768</v>
      </c>
      <c r="S79" s="1005" t="s">
        <v>171</v>
      </c>
      <c r="T79" s="1008" t="s">
        <v>367</v>
      </c>
      <c r="U79" s="1067">
        <v>1</v>
      </c>
      <c r="V79" s="1078" t="s">
        <v>349</v>
      </c>
      <c r="W79" s="1059"/>
      <c r="AE79" s="995">
        <v>72</v>
      </c>
    </row>
    <row r="80" spans="1:31" s="367" customFormat="1" x14ac:dyDescent="0.25">
      <c r="A80" s="137" t="s">
        <v>141</v>
      </c>
      <c r="B80" s="847" t="s">
        <v>141</v>
      </c>
      <c r="C80" s="845" t="s">
        <v>132</v>
      </c>
      <c r="D80" s="50">
        <f>Poeng!S187</f>
        <v>1</v>
      </c>
      <c r="E80" s="49"/>
      <c r="F80" s="52">
        <f>Poeng!AA187</f>
        <v>1</v>
      </c>
      <c r="G80"/>
      <c r="H80" s="977">
        <f t="shared" si="5"/>
        <v>0</v>
      </c>
      <c r="I80" s="365" t="str">
        <f t="shared" si="7"/>
        <v>FEIL</v>
      </c>
      <c r="J80"/>
      <c r="K80"/>
      <c r="N80" s="369"/>
      <c r="Q80" s="995"/>
      <c r="R80" s="995" t="s">
        <v>769</v>
      </c>
      <c r="S80" s="1005" t="s">
        <v>172</v>
      </c>
      <c r="T80" s="1008" t="s">
        <v>368</v>
      </c>
      <c r="U80" s="1067">
        <v>1</v>
      </c>
      <c r="V80" s="1078" t="s">
        <v>349</v>
      </c>
      <c r="W80" s="1059"/>
      <c r="AE80" s="995">
        <v>73</v>
      </c>
    </row>
    <row r="81" spans="1:31" s="367" customFormat="1" x14ac:dyDescent="0.25">
      <c r="A81" s="96" t="s">
        <v>757</v>
      </c>
      <c r="B81" s="163" t="s">
        <v>696</v>
      </c>
      <c r="C81" s="931" t="s">
        <v>633</v>
      </c>
      <c r="D81" s="50">
        <f>Poeng!S189</f>
        <v>2</v>
      </c>
      <c r="E81" s="49"/>
      <c r="F81" s="52">
        <f>Poeng!AA189</f>
        <v>2</v>
      </c>
      <c r="H81" s="221">
        <f t="shared" si="5"/>
        <v>0</v>
      </c>
      <c r="I81" s="365" t="str">
        <f t="shared" si="7"/>
        <v>FEIL</v>
      </c>
      <c r="N81" s="369"/>
      <c r="Q81" s="995"/>
      <c r="R81" s="995"/>
      <c r="S81" s="1005" t="s">
        <v>173</v>
      </c>
      <c r="T81" s="1041" t="s">
        <v>369</v>
      </c>
      <c r="U81" s="1069"/>
      <c r="V81" s="1069"/>
      <c r="W81" s="1059"/>
      <c r="AE81" s="995">
        <v>74</v>
      </c>
    </row>
    <row r="82" spans="1:31" ht="15.75" thickBot="1" x14ac:dyDescent="0.3">
      <c r="A82" s="96" t="s">
        <v>758</v>
      </c>
      <c r="B82" s="163" t="s">
        <v>699</v>
      </c>
      <c r="C82" s="931" t="s">
        <v>634</v>
      </c>
      <c r="D82" s="50">
        <f>Poeng!S192</f>
        <v>3</v>
      </c>
      <c r="E82" s="69"/>
      <c r="F82" s="52">
        <f>Poeng!AA192</f>
        <v>3</v>
      </c>
      <c r="G82" s="367"/>
      <c r="H82" s="221">
        <f t="shared" si="5"/>
        <v>0</v>
      </c>
      <c r="I82" s="365" t="str">
        <f t="shared" si="7"/>
        <v>FEIL</v>
      </c>
      <c r="J82" s="367"/>
      <c r="K82" s="367"/>
      <c r="N82" s="354" t="s">
        <v>385</v>
      </c>
      <c r="O82" s="348" t="b">
        <f t="shared" si="6"/>
        <v>0</v>
      </c>
      <c r="R82" s="995" t="s">
        <v>770</v>
      </c>
      <c r="S82" s="1005"/>
      <c r="T82" s="1003" t="s">
        <v>646</v>
      </c>
      <c r="U82" s="1067">
        <v>1</v>
      </c>
      <c r="V82" s="1078" t="s">
        <v>349</v>
      </c>
      <c r="W82" s="1059"/>
      <c r="AE82" s="995">
        <v>75</v>
      </c>
    </row>
    <row r="83" spans="1:31" ht="15.75" thickBot="1" x14ac:dyDescent="0.3">
      <c r="A83" s="137" t="s">
        <v>142</v>
      </c>
      <c r="B83" s="847" t="s">
        <v>142</v>
      </c>
      <c r="C83" s="845" t="s">
        <v>133</v>
      </c>
      <c r="D83" s="56">
        <f>Poeng!S197</f>
        <v>19</v>
      </c>
      <c r="E83" s="56"/>
      <c r="F83" s="56">
        <f>SUM(F75:F82)</f>
        <v>19</v>
      </c>
      <c r="H83" s="977">
        <f t="shared" si="5"/>
        <v>0</v>
      </c>
      <c r="I83" s="365" t="str">
        <f t="shared" si="7"/>
        <v>FEIL</v>
      </c>
      <c r="N83" s="354" t="s">
        <v>386</v>
      </c>
      <c r="O83" s="348" t="b">
        <f t="shared" si="6"/>
        <v>0</v>
      </c>
      <c r="R83" s="995" t="s">
        <v>771</v>
      </c>
      <c r="S83" s="1005"/>
      <c r="T83" s="1003" t="s">
        <v>647</v>
      </c>
      <c r="U83" s="1067">
        <v>1</v>
      </c>
      <c r="V83" s="1078" t="s">
        <v>349</v>
      </c>
      <c r="W83" s="1059"/>
      <c r="AE83" s="995">
        <v>76</v>
      </c>
    </row>
    <row r="84" spans="1:31" ht="15.75" thickBot="1" x14ac:dyDescent="0.3">
      <c r="A84" s="96" t="s">
        <v>759</v>
      </c>
      <c r="B84" s="163" t="s">
        <v>696</v>
      </c>
      <c r="C84" s="931" t="s">
        <v>896</v>
      </c>
      <c r="D84" s="30"/>
      <c r="E84" s="30"/>
      <c r="H84" s="221">
        <f t="shared" si="5"/>
        <v>1</v>
      </c>
      <c r="I84" s="365" t="str">
        <f t="shared" si="7"/>
        <v>FEIL</v>
      </c>
      <c r="N84" s="354" t="s">
        <v>387</v>
      </c>
      <c r="O84" s="348" t="b">
        <f t="shared" si="6"/>
        <v>0</v>
      </c>
      <c r="R84" s="995" t="s">
        <v>772</v>
      </c>
      <c r="S84" s="1005"/>
      <c r="T84" s="1003" t="s">
        <v>648</v>
      </c>
      <c r="U84" s="1067">
        <v>1</v>
      </c>
      <c r="V84" s="1078" t="s">
        <v>349</v>
      </c>
      <c r="W84" s="1059"/>
      <c r="AE84" s="995">
        <v>77</v>
      </c>
    </row>
    <row r="85" spans="1:31" ht="15.75" thickBot="1" x14ac:dyDescent="0.3">
      <c r="A85" s="96" t="s">
        <v>760</v>
      </c>
      <c r="B85" s="163" t="s">
        <v>699</v>
      </c>
      <c r="C85" s="1025" t="s">
        <v>920</v>
      </c>
      <c r="D85" s="53"/>
      <c r="E85" s="53"/>
      <c r="F85" s="53"/>
      <c r="H85" s="1050">
        <f>IF(SUMIF($R$7:$R$182,A85,$U$7:$U$182)=2,1,SUMIF($R$7:$R$182,A85,$U$7:$U$182))</f>
        <v>1</v>
      </c>
      <c r="I85" s="365" t="str">
        <f t="shared" si="7"/>
        <v>FEIL</v>
      </c>
      <c r="J85" t="s">
        <v>947</v>
      </c>
      <c r="N85" s="354" t="s">
        <v>389</v>
      </c>
      <c r="O85" s="348" t="b">
        <f t="shared" si="6"/>
        <v>0</v>
      </c>
      <c r="R85" s="995" t="s">
        <v>773</v>
      </c>
      <c r="S85" s="1005" t="s">
        <v>174</v>
      </c>
      <c r="T85" s="1008" t="s">
        <v>370</v>
      </c>
      <c r="U85" s="1067">
        <v>1</v>
      </c>
      <c r="V85" s="1078" t="s">
        <v>349</v>
      </c>
      <c r="W85" s="1059"/>
      <c r="AE85" s="995">
        <v>78</v>
      </c>
    </row>
    <row r="86" spans="1:31" x14ac:dyDescent="0.25">
      <c r="A86" s="96" t="s">
        <v>922</v>
      </c>
      <c r="B86" s="163" t="s">
        <v>700</v>
      </c>
      <c r="C86" s="1025" t="s">
        <v>921</v>
      </c>
      <c r="D86" s="50">
        <f>Poeng!S200</f>
        <v>3</v>
      </c>
      <c r="E86" s="49"/>
      <c r="F86" s="52">
        <f>Poeng!AA200</f>
        <v>3</v>
      </c>
      <c r="H86" s="1050">
        <f>IF(SUMIF($R$7:$R$182,A85,$U$7:$U$182)=2,1,0)</f>
        <v>0</v>
      </c>
      <c r="I86" s="365" t="str">
        <f t="shared" si="7"/>
        <v>FEIL</v>
      </c>
      <c r="J86" s="995" t="s">
        <v>947</v>
      </c>
      <c r="N86" s="350"/>
      <c r="O86" s="348" t="b">
        <f t="shared" si="6"/>
        <v>1</v>
      </c>
      <c r="R86" s="995"/>
      <c r="S86" s="1001"/>
      <c r="T86" s="999"/>
      <c r="U86" s="1060"/>
      <c r="V86" s="1061"/>
      <c r="W86" s="1059"/>
      <c r="AE86" s="995">
        <v>79</v>
      </c>
    </row>
    <row r="87" spans="1:31" ht="15" customHeight="1" x14ac:dyDescent="0.25">
      <c r="A87" s="137" t="s">
        <v>143</v>
      </c>
      <c r="B87" s="847" t="s">
        <v>143</v>
      </c>
      <c r="C87" s="845" t="s">
        <v>134</v>
      </c>
      <c r="D87" s="50">
        <f>Poeng!S204</f>
        <v>2</v>
      </c>
      <c r="E87" s="49"/>
      <c r="F87" s="52">
        <f>Poeng!AA204</f>
        <v>2</v>
      </c>
      <c r="H87" s="977">
        <f t="shared" si="5"/>
        <v>0</v>
      </c>
      <c r="I87" s="365" t="str">
        <f t="shared" si="7"/>
        <v>FEIL</v>
      </c>
      <c r="N87" s="350"/>
      <c r="O87" s="348" t="b">
        <f t="shared" si="6"/>
        <v>0</v>
      </c>
      <c r="R87" s="995"/>
      <c r="S87" s="1000" t="s">
        <v>371</v>
      </c>
      <c r="T87" s="999"/>
      <c r="U87" s="1060"/>
      <c r="V87" s="1061"/>
      <c r="W87" s="1059"/>
      <c r="AE87" s="995">
        <v>80</v>
      </c>
    </row>
    <row r="88" spans="1:31" x14ac:dyDescent="0.25">
      <c r="A88" s="96" t="s">
        <v>761</v>
      </c>
      <c r="B88" s="163" t="s">
        <v>696</v>
      </c>
      <c r="C88" s="931" t="s">
        <v>637</v>
      </c>
      <c r="D88" s="50">
        <f>Poeng!S207</f>
        <v>0</v>
      </c>
      <c r="E88" s="49"/>
      <c r="F88" s="52">
        <f>Poeng!AA207</f>
        <v>0</v>
      </c>
      <c r="H88" s="221">
        <f t="shared" si="5"/>
        <v>0</v>
      </c>
      <c r="I88" s="365" t="str">
        <f t="shared" si="7"/>
        <v>OK</v>
      </c>
      <c r="N88" s="352" t="s">
        <v>391</v>
      </c>
      <c r="O88" s="348" t="b">
        <f t="shared" si="6"/>
        <v>0</v>
      </c>
      <c r="R88" s="995"/>
      <c r="S88" s="1005" t="s">
        <v>175</v>
      </c>
      <c r="T88" s="1041" t="s">
        <v>850</v>
      </c>
      <c r="U88" s="1069"/>
      <c r="V88" s="1043"/>
      <c r="W88" s="1059"/>
      <c r="AE88" s="995">
        <v>81</v>
      </c>
    </row>
    <row r="89" spans="1:31" x14ac:dyDescent="0.25">
      <c r="A89" s="96" t="s">
        <v>762</v>
      </c>
      <c r="B89" s="163" t="s">
        <v>699</v>
      </c>
      <c r="C89" s="931" t="s">
        <v>638</v>
      </c>
      <c r="D89" s="50">
        <f>Poeng!S208</f>
        <v>1</v>
      </c>
      <c r="E89" s="49"/>
      <c r="F89" s="52">
        <f>Poeng!AA208</f>
        <v>1</v>
      </c>
      <c r="H89" s="221">
        <f t="shared" si="5"/>
        <v>0</v>
      </c>
      <c r="I89" s="365" t="str">
        <f t="shared" si="7"/>
        <v>FEIL</v>
      </c>
      <c r="N89" s="354" t="s">
        <v>98</v>
      </c>
      <c r="O89" s="348" t="b">
        <f t="shared" si="6"/>
        <v>0</v>
      </c>
      <c r="R89" s="995" t="s">
        <v>775</v>
      </c>
      <c r="S89" s="1005"/>
      <c r="T89" s="1003" t="s">
        <v>650</v>
      </c>
      <c r="U89" s="1062">
        <v>3</v>
      </c>
      <c r="V89" s="1072" t="s">
        <v>349</v>
      </c>
      <c r="W89" s="1059"/>
      <c r="AE89" s="995">
        <v>82</v>
      </c>
    </row>
    <row r="90" spans="1:31" ht="15.75" thickBot="1" x14ac:dyDescent="0.3">
      <c r="A90" s="137" t="s">
        <v>144</v>
      </c>
      <c r="B90" s="847" t="s">
        <v>144</v>
      </c>
      <c r="C90" s="845" t="s">
        <v>135</v>
      </c>
      <c r="D90" s="50">
        <f>Poeng!S211</f>
        <v>1</v>
      </c>
      <c r="E90" s="49"/>
      <c r="F90" s="52">
        <f>Poeng!AA211</f>
        <v>1</v>
      </c>
      <c r="H90" s="977">
        <f t="shared" si="5"/>
        <v>0</v>
      </c>
      <c r="I90" s="365" t="str">
        <f t="shared" si="7"/>
        <v>FEIL</v>
      </c>
      <c r="N90" s="354" t="s">
        <v>120</v>
      </c>
      <c r="O90" s="348" t="b">
        <f t="shared" si="6"/>
        <v>0</v>
      </c>
      <c r="R90" s="995" t="s">
        <v>776</v>
      </c>
      <c r="S90" s="1005"/>
      <c r="T90" s="1003" t="s">
        <v>651</v>
      </c>
      <c r="U90" s="1062">
        <v>2</v>
      </c>
      <c r="V90" s="1072" t="s">
        <v>349</v>
      </c>
      <c r="W90" s="1059"/>
      <c r="AE90" s="995">
        <v>83</v>
      </c>
    </row>
    <row r="91" spans="1:31" ht="15.75" thickBot="1" x14ac:dyDescent="0.3">
      <c r="A91" s="96" t="s">
        <v>763</v>
      </c>
      <c r="B91" s="166" t="s">
        <v>696</v>
      </c>
      <c r="C91" s="931" t="s">
        <v>639</v>
      </c>
      <c r="D91" s="56">
        <f>Poeng!S214</f>
        <v>7</v>
      </c>
      <c r="E91" s="56"/>
      <c r="F91" s="56">
        <f>SUM(F86:F90)</f>
        <v>7</v>
      </c>
      <c r="H91" s="221">
        <f t="shared" si="5"/>
        <v>2</v>
      </c>
      <c r="I91" s="365" t="str">
        <f t="shared" si="7"/>
        <v>FEIL</v>
      </c>
      <c r="N91" s="354" t="s">
        <v>364</v>
      </c>
      <c r="O91" s="348" t="b">
        <f t="shared" si="6"/>
        <v>0</v>
      </c>
      <c r="R91" s="995"/>
      <c r="S91" s="1005" t="s">
        <v>480</v>
      </c>
      <c r="T91" s="1041" t="s">
        <v>851</v>
      </c>
      <c r="U91" s="1069"/>
      <c r="V91" s="1043"/>
      <c r="W91" s="1059"/>
      <c r="AE91" s="995">
        <v>84</v>
      </c>
    </row>
    <row r="92" spans="1:31" ht="15.75" thickBot="1" x14ac:dyDescent="0.3">
      <c r="A92" s="96"/>
      <c r="B92" s="712" t="s">
        <v>145</v>
      </c>
      <c r="C92" s="711"/>
      <c r="D92" s="30"/>
      <c r="E92" s="30"/>
      <c r="H92" s="970">
        <f t="shared" si="5"/>
        <v>0</v>
      </c>
      <c r="I92" s="365" t="str">
        <f t="shared" si="7"/>
        <v>OK</v>
      </c>
      <c r="N92" s="354" t="s">
        <v>365</v>
      </c>
      <c r="O92" s="348" t="b">
        <f t="shared" si="6"/>
        <v>0</v>
      </c>
      <c r="R92" s="995" t="s">
        <v>778</v>
      </c>
      <c r="S92" s="1005"/>
      <c r="T92" s="1003" t="s">
        <v>653</v>
      </c>
      <c r="U92" s="1062">
        <v>1</v>
      </c>
      <c r="V92" s="1072" t="s">
        <v>349</v>
      </c>
      <c r="W92" s="1059"/>
      <c r="AE92" s="995">
        <v>85</v>
      </c>
    </row>
    <row r="93" spans="1:31" ht="15.75" thickBot="1" x14ac:dyDescent="0.3">
      <c r="A93" s="96"/>
      <c r="B93" s="712" t="s">
        <v>146</v>
      </c>
      <c r="C93" s="711"/>
      <c r="D93" s="53"/>
      <c r="E93" s="53"/>
      <c r="F93" s="53"/>
      <c r="H93" s="970">
        <f t="shared" si="5"/>
        <v>0</v>
      </c>
      <c r="I93" s="365" t="str">
        <f t="shared" si="7"/>
        <v>OK</v>
      </c>
      <c r="N93" s="369" t="s">
        <v>171</v>
      </c>
      <c r="O93" s="367" t="b">
        <f t="shared" si="6"/>
        <v>0</v>
      </c>
      <c r="R93" s="995" t="s">
        <v>779</v>
      </c>
      <c r="S93" s="1005"/>
      <c r="T93" s="1003" t="s">
        <v>654</v>
      </c>
      <c r="U93" s="1062">
        <v>1</v>
      </c>
      <c r="V93" s="1072" t="s">
        <v>349</v>
      </c>
      <c r="W93" s="1059"/>
      <c r="AE93" s="995">
        <v>86</v>
      </c>
    </row>
    <row r="94" spans="1:31" ht="15.75" thickBot="1" x14ac:dyDescent="0.3">
      <c r="A94" s="96" t="s">
        <v>888</v>
      </c>
      <c r="B94" s="201"/>
      <c r="C94" s="202" t="s">
        <v>216</v>
      </c>
      <c r="D94" s="52">
        <f>Poeng!S217</f>
        <v>1</v>
      </c>
      <c r="E94" s="51"/>
      <c r="F94" s="52">
        <f>Poeng!AA217</f>
        <v>1</v>
      </c>
      <c r="H94" s="226">
        <f t="shared" si="5"/>
        <v>0</v>
      </c>
      <c r="I94" s="365" t="str">
        <f t="shared" si="7"/>
        <v>FEIL</v>
      </c>
      <c r="N94" s="354" t="s">
        <v>175</v>
      </c>
      <c r="O94" s="367" t="b">
        <f t="shared" si="6"/>
        <v>0</v>
      </c>
      <c r="R94" s="995"/>
      <c r="S94" s="1005" t="s">
        <v>176</v>
      </c>
      <c r="T94" s="1041" t="s">
        <v>852</v>
      </c>
      <c r="U94" s="1069"/>
      <c r="V94" s="1043"/>
      <c r="W94" s="1059"/>
      <c r="AE94" s="995">
        <v>87</v>
      </c>
    </row>
    <row r="95" spans="1:31" ht="15.75" thickBot="1" x14ac:dyDescent="0.3">
      <c r="A95" s="96"/>
      <c r="B95" s="96"/>
      <c r="C95" s="96"/>
      <c r="D95" s="50">
        <f>Poeng!S218</f>
        <v>1</v>
      </c>
      <c r="E95" s="49"/>
      <c r="F95" s="52">
        <f>Poeng!AA218</f>
        <v>1</v>
      </c>
      <c r="H95" s="96">
        <f t="shared" si="5"/>
        <v>0</v>
      </c>
      <c r="I95" s="365" t="str">
        <f t="shared" si="7"/>
        <v>FEIL</v>
      </c>
      <c r="N95" s="354" t="s">
        <v>176</v>
      </c>
      <c r="O95" s="367" t="b">
        <f t="shared" si="6"/>
        <v>0</v>
      </c>
      <c r="R95" s="995" t="s">
        <v>781</v>
      </c>
      <c r="S95" s="1005"/>
      <c r="T95" s="1003" t="s">
        <v>656</v>
      </c>
      <c r="U95" s="1062">
        <v>1</v>
      </c>
      <c r="V95" s="1072" t="s">
        <v>349</v>
      </c>
      <c r="W95" s="1059"/>
      <c r="AE95" s="995">
        <v>88</v>
      </c>
    </row>
    <row r="96" spans="1:31" ht="15.75" thickBot="1" x14ac:dyDescent="0.3">
      <c r="A96" s="96"/>
      <c r="B96" s="145"/>
      <c r="C96" s="146" t="s">
        <v>69</v>
      </c>
      <c r="D96" s="50">
        <f>Poeng!S219</f>
        <v>1</v>
      </c>
      <c r="E96" s="49"/>
      <c r="F96" s="52">
        <f>Poeng!AA219</f>
        <v>1</v>
      </c>
      <c r="H96" s="138">
        <f t="shared" si="5"/>
        <v>0</v>
      </c>
      <c r="I96" s="365" t="str">
        <f t="shared" si="7"/>
        <v>FEIL</v>
      </c>
      <c r="N96" s="354" t="s">
        <v>179</v>
      </c>
      <c r="O96" s="367" t="b">
        <f t="shared" si="6"/>
        <v>0</v>
      </c>
      <c r="R96" s="995" t="s">
        <v>782</v>
      </c>
      <c r="S96" s="1005"/>
      <c r="T96" s="1003" t="s">
        <v>657</v>
      </c>
      <c r="U96" s="1062">
        <v>1</v>
      </c>
      <c r="V96" s="1072" t="s">
        <v>349</v>
      </c>
      <c r="W96" s="1059"/>
      <c r="AE96" s="995">
        <v>89</v>
      </c>
    </row>
    <row r="97" spans="1:31" x14ac:dyDescent="0.25">
      <c r="A97" s="137" t="s">
        <v>149</v>
      </c>
      <c r="B97" s="846" t="s">
        <v>149</v>
      </c>
      <c r="C97" s="844" t="s">
        <v>463</v>
      </c>
      <c r="D97" s="50">
        <f>Poeng!S220</f>
        <v>1</v>
      </c>
      <c r="E97" s="49"/>
      <c r="F97" s="52">
        <f>Poeng!AA220</f>
        <v>1</v>
      </c>
      <c r="H97" s="150">
        <f t="shared" si="5"/>
        <v>0</v>
      </c>
      <c r="I97" s="365" t="str">
        <f t="shared" si="7"/>
        <v>FEIL</v>
      </c>
      <c r="N97" t="s">
        <v>180</v>
      </c>
      <c r="O97" s="367" t="b">
        <f t="shared" si="6"/>
        <v>0</v>
      </c>
      <c r="R97" s="995"/>
      <c r="S97" s="1005" t="s">
        <v>177</v>
      </c>
      <c r="T97" s="1041" t="s">
        <v>372</v>
      </c>
      <c r="U97" s="1069"/>
      <c r="V97" s="1043"/>
      <c r="W97" s="1059"/>
      <c r="AE97" s="995">
        <v>90</v>
      </c>
    </row>
    <row r="98" spans="1:31" x14ac:dyDescent="0.25">
      <c r="A98" s="96" t="s">
        <v>764</v>
      </c>
      <c r="B98" s="163" t="s">
        <v>696</v>
      </c>
      <c r="C98" s="931" t="s">
        <v>640</v>
      </c>
      <c r="D98" s="50">
        <f>Poeng!S221</f>
        <v>2</v>
      </c>
      <c r="E98" s="49"/>
      <c r="F98" s="52">
        <f>Poeng!AA221</f>
        <v>2</v>
      </c>
      <c r="H98" s="221">
        <f t="shared" si="5"/>
        <v>2</v>
      </c>
      <c r="I98" s="365" t="str">
        <f t="shared" si="7"/>
        <v>OK</v>
      </c>
      <c r="O98" s="348"/>
      <c r="R98" s="995" t="s">
        <v>784</v>
      </c>
      <c r="S98" s="1007"/>
      <c r="T98" s="1003" t="s">
        <v>659</v>
      </c>
      <c r="U98" s="1062">
        <v>1</v>
      </c>
      <c r="V98" s="1072" t="s">
        <v>349</v>
      </c>
      <c r="W98" s="1059"/>
      <c r="AE98" s="995">
        <v>91</v>
      </c>
    </row>
    <row r="99" spans="1:31" x14ac:dyDescent="0.25">
      <c r="A99" s="96" t="s">
        <v>765</v>
      </c>
      <c r="B99" s="163" t="s">
        <v>699</v>
      </c>
      <c r="C99" s="931" t="s">
        <v>641</v>
      </c>
      <c r="D99" s="50">
        <f>Poeng!S222</f>
        <v>1</v>
      </c>
      <c r="E99" s="49"/>
      <c r="F99" s="52">
        <f>Poeng!AA222</f>
        <v>1</v>
      </c>
      <c r="H99" s="221">
        <f t="shared" si="5"/>
        <v>1</v>
      </c>
      <c r="I99" s="365" t="str">
        <f t="shared" si="7"/>
        <v>OK</v>
      </c>
      <c r="O99" s="348"/>
      <c r="R99" s="995" t="s">
        <v>785</v>
      </c>
      <c r="S99" s="1007"/>
      <c r="T99" s="1003" t="s">
        <v>660</v>
      </c>
      <c r="U99" s="1062">
        <v>1</v>
      </c>
      <c r="V99" s="1072" t="s">
        <v>349</v>
      </c>
      <c r="W99" s="1059"/>
      <c r="AE99" s="995">
        <v>92</v>
      </c>
    </row>
    <row r="100" spans="1:31" x14ac:dyDescent="0.25">
      <c r="A100" s="137" t="s">
        <v>150</v>
      </c>
      <c r="B100" s="847" t="s">
        <v>150</v>
      </c>
      <c r="C100" s="845" t="s">
        <v>464</v>
      </c>
      <c r="D100" s="50">
        <f>Poeng!S223</f>
        <v>1</v>
      </c>
      <c r="E100" s="49"/>
      <c r="F100" s="52">
        <f>Poeng!AA223</f>
        <v>1</v>
      </c>
      <c r="H100" s="977">
        <f t="shared" si="5"/>
        <v>0</v>
      </c>
      <c r="I100" s="365" t="str">
        <f t="shared" si="7"/>
        <v>FEIL</v>
      </c>
      <c r="O100" s="348"/>
      <c r="R100" s="995" t="s">
        <v>786</v>
      </c>
      <c r="S100" s="1007"/>
      <c r="T100" s="1003" t="s">
        <v>661</v>
      </c>
      <c r="U100" s="1062">
        <v>2</v>
      </c>
      <c r="V100" s="1072" t="s">
        <v>349</v>
      </c>
      <c r="W100" s="1059"/>
      <c r="AE100" s="995">
        <v>93</v>
      </c>
    </row>
    <row r="101" spans="1:31" s="30" customFormat="1" x14ac:dyDescent="0.25">
      <c r="A101" s="96"/>
      <c r="B101" s="163" t="s">
        <v>696</v>
      </c>
      <c r="C101" s="931" t="s">
        <v>642</v>
      </c>
      <c r="D101" s="50">
        <f>Poeng!S224</f>
        <v>1</v>
      </c>
      <c r="E101" s="49"/>
      <c r="F101" s="52">
        <f>Poeng!AA224</f>
        <v>1</v>
      </c>
      <c r="G101"/>
      <c r="H101" s="221">
        <f t="shared" si="5"/>
        <v>0</v>
      </c>
      <c r="I101" s="365" t="str">
        <f t="shared" si="7"/>
        <v>FEIL</v>
      </c>
      <c r="J101"/>
      <c r="K101"/>
      <c r="Q101" s="995"/>
      <c r="R101" s="995"/>
      <c r="S101" s="1005" t="s">
        <v>178</v>
      </c>
      <c r="T101" s="1041" t="s">
        <v>663</v>
      </c>
      <c r="U101" s="1069"/>
      <c r="V101" s="1043"/>
      <c r="W101" s="1059"/>
      <c r="AE101" s="995">
        <v>94</v>
      </c>
    </row>
    <row r="102" spans="1:31" s="367" customFormat="1" x14ac:dyDescent="0.25">
      <c r="A102" s="96" t="s">
        <v>767</v>
      </c>
      <c r="B102" s="163" t="s">
        <v>699</v>
      </c>
      <c r="C102" s="931" t="s">
        <v>643</v>
      </c>
      <c r="D102" s="50">
        <f>Poeng!S225</f>
        <v>1</v>
      </c>
      <c r="E102" s="49"/>
      <c r="F102" s="52">
        <f>D102-E102</f>
        <v>1</v>
      </c>
      <c r="G102" s="30"/>
      <c r="H102" s="221">
        <f t="shared" si="5"/>
        <v>10</v>
      </c>
      <c r="I102" s="365" t="str">
        <f t="shared" si="7"/>
        <v>FEIL</v>
      </c>
      <c r="J102" s="30"/>
      <c r="K102" s="30"/>
      <c r="Q102" s="995"/>
      <c r="R102" s="995" t="s">
        <v>787</v>
      </c>
      <c r="S102" s="1007"/>
      <c r="T102" s="1003" t="s">
        <v>662</v>
      </c>
      <c r="U102" s="1062">
        <v>1</v>
      </c>
      <c r="V102" s="1072" t="s">
        <v>349</v>
      </c>
      <c r="W102" s="1059"/>
      <c r="AE102" s="995">
        <v>95</v>
      </c>
    </row>
    <row r="103" spans="1:31" s="367" customFormat="1" x14ac:dyDescent="0.25">
      <c r="A103" s="96"/>
      <c r="B103" s="712" t="s">
        <v>151</v>
      </c>
      <c r="C103" s="711"/>
      <c r="D103" s="50">
        <f>Poeng!S226</f>
        <v>1</v>
      </c>
      <c r="E103" s="49"/>
      <c r="F103" s="52">
        <f t="shared" ref="F103:F106" si="8">D103-E103</f>
        <v>1</v>
      </c>
      <c r="H103" s="970">
        <f t="shared" si="5"/>
        <v>0</v>
      </c>
      <c r="I103" s="365"/>
      <c r="Q103" s="995"/>
      <c r="R103" s="995" t="s">
        <v>788</v>
      </c>
      <c r="S103" s="1007"/>
      <c r="T103" s="1003" t="s">
        <v>663</v>
      </c>
      <c r="U103" s="1062">
        <v>1</v>
      </c>
      <c r="V103" s="1072" t="s">
        <v>349</v>
      </c>
      <c r="W103" s="1059"/>
      <c r="AE103" s="995">
        <v>96</v>
      </c>
    </row>
    <row r="104" spans="1:31" s="367" customFormat="1" x14ac:dyDescent="0.25">
      <c r="A104" s="96"/>
      <c r="B104" s="712" t="s">
        <v>152</v>
      </c>
      <c r="C104" s="711"/>
      <c r="D104" s="50">
        <f>Poeng!S227</f>
        <v>1</v>
      </c>
      <c r="E104" s="49"/>
      <c r="F104" s="52">
        <f t="shared" si="8"/>
        <v>1</v>
      </c>
      <c r="H104" s="970">
        <f t="shared" si="5"/>
        <v>0</v>
      </c>
      <c r="I104" s="365"/>
      <c r="Q104" s="995"/>
      <c r="R104" s="995" t="s">
        <v>789</v>
      </c>
      <c r="S104" s="1007"/>
      <c r="T104" s="1003" t="s">
        <v>664</v>
      </c>
      <c r="U104" s="1062">
        <v>2</v>
      </c>
      <c r="V104" s="1072" t="s">
        <v>349</v>
      </c>
      <c r="W104" s="1059"/>
      <c r="AE104" s="995">
        <v>97</v>
      </c>
    </row>
    <row r="105" spans="1:31" s="367" customFormat="1" x14ac:dyDescent="0.25">
      <c r="A105" s="96"/>
      <c r="B105" s="712" t="s">
        <v>153</v>
      </c>
      <c r="C105" s="711"/>
      <c r="D105" s="50">
        <f>Poeng!S228</f>
        <v>1</v>
      </c>
      <c r="E105" s="49"/>
      <c r="F105" s="52">
        <f t="shared" si="8"/>
        <v>1</v>
      </c>
      <c r="H105" s="970">
        <f t="shared" si="5"/>
        <v>0</v>
      </c>
      <c r="I105" s="365"/>
      <c r="Q105" s="995"/>
      <c r="R105" s="995"/>
      <c r="S105" s="1005" t="s">
        <v>481</v>
      </c>
      <c r="T105" s="1041" t="s">
        <v>853</v>
      </c>
      <c r="U105" s="1069"/>
      <c r="V105" s="1043"/>
      <c r="W105" s="1059"/>
      <c r="AE105" s="995">
        <v>98</v>
      </c>
    </row>
    <row r="106" spans="1:31" ht="15.75" thickBot="1" x14ac:dyDescent="0.3">
      <c r="A106" s="96"/>
      <c r="B106" s="716" t="s">
        <v>316</v>
      </c>
      <c r="C106" s="717"/>
      <c r="D106" s="50">
        <f>Poeng!S229</f>
        <v>1</v>
      </c>
      <c r="E106" s="49"/>
      <c r="F106" s="52">
        <f t="shared" si="8"/>
        <v>1</v>
      </c>
      <c r="G106" s="367"/>
      <c r="H106" s="970">
        <f t="shared" si="5"/>
        <v>0</v>
      </c>
      <c r="I106" s="365"/>
      <c r="J106" s="367"/>
      <c r="K106" s="367"/>
      <c r="R106" s="995" t="s">
        <v>790</v>
      </c>
      <c r="S106" s="1007"/>
      <c r="T106" s="1003" t="s">
        <v>665</v>
      </c>
      <c r="U106" s="1062">
        <v>1</v>
      </c>
      <c r="V106" s="1072" t="s">
        <v>349</v>
      </c>
      <c r="W106" s="1059"/>
      <c r="AE106" s="995">
        <v>99</v>
      </c>
    </row>
    <row r="107" spans="1:31" ht="15.75" thickBot="1" x14ac:dyDescent="0.3">
      <c r="A107" s="96" t="s">
        <v>889</v>
      </c>
      <c r="B107" s="201"/>
      <c r="C107" s="202" t="s">
        <v>216</v>
      </c>
      <c r="D107" s="56">
        <f>Poeng!S231</f>
        <v>10</v>
      </c>
      <c r="E107" s="56"/>
      <c r="F107" s="56">
        <f>IF(SUM(F94:F106)&gt;10,10,SUM(F94:F106))</f>
        <v>10</v>
      </c>
      <c r="H107" s="226">
        <f t="shared" si="5"/>
        <v>0</v>
      </c>
      <c r="I107" s="365" t="str">
        <f t="shared" si="7"/>
        <v>FEIL</v>
      </c>
      <c r="R107" s="995" t="s">
        <v>791</v>
      </c>
      <c r="S107" s="1007"/>
      <c r="T107" s="1003" t="s">
        <v>666</v>
      </c>
      <c r="U107" s="1062">
        <v>1</v>
      </c>
      <c r="V107" s="1072" t="s">
        <v>349</v>
      </c>
      <c r="W107" s="1059"/>
      <c r="AE107" s="995">
        <v>100</v>
      </c>
    </row>
    <row r="108" spans="1:31" ht="15.75" thickBot="1" x14ac:dyDescent="0.3">
      <c r="A108" s="96"/>
      <c r="B108" s="96"/>
      <c r="C108" s="96"/>
      <c r="H108" s="96">
        <f t="shared" si="5"/>
        <v>0</v>
      </c>
      <c r="R108" s="995" t="s">
        <v>792</v>
      </c>
      <c r="S108" s="1007"/>
      <c r="T108" s="1003" t="s">
        <v>854</v>
      </c>
      <c r="U108" s="1062">
        <v>2</v>
      </c>
      <c r="V108" s="1072" t="s">
        <v>349</v>
      </c>
      <c r="W108" s="1059"/>
      <c r="AE108" s="995">
        <v>101</v>
      </c>
    </row>
    <row r="109" spans="1:31" ht="15.75" thickBot="1" x14ac:dyDescent="0.3">
      <c r="A109" s="96"/>
      <c r="B109" s="145"/>
      <c r="C109" s="146" t="s">
        <v>61</v>
      </c>
      <c r="H109" s="138">
        <f t="shared" si="5"/>
        <v>0</v>
      </c>
      <c r="R109" s="995"/>
      <c r="S109" s="1000" t="s">
        <v>373</v>
      </c>
      <c r="T109" s="999"/>
      <c r="U109" s="1060"/>
      <c r="V109" s="1061"/>
      <c r="W109" s="1059"/>
      <c r="AE109" s="995">
        <v>102</v>
      </c>
    </row>
    <row r="110" spans="1:31" ht="15" customHeight="1" x14ac:dyDescent="0.25">
      <c r="A110" s="137" t="s">
        <v>171</v>
      </c>
      <c r="B110" s="846" t="s">
        <v>171</v>
      </c>
      <c r="C110" s="844" t="s">
        <v>154</v>
      </c>
      <c r="H110" s="975">
        <f t="shared" si="5"/>
        <v>0</v>
      </c>
      <c r="R110" s="995"/>
      <c r="S110" s="1010" t="s">
        <v>179</v>
      </c>
      <c r="T110" s="1013" t="s">
        <v>374</v>
      </c>
      <c r="U110" s="1071"/>
      <c r="V110" s="1079"/>
      <c r="W110" s="1059"/>
      <c r="AE110" s="995">
        <v>103</v>
      </c>
    </row>
    <row r="111" spans="1:31" ht="15" customHeight="1" x14ac:dyDescent="0.25">
      <c r="A111" s="96" t="s">
        <v>768</v>
      </c>
      <c r="B111" s="163" t="s">
        <v>696</v>
      </c>
      <c r="C111" s="931" t="s">
        <v>644</v>
      </c>
      <c r="H111" s="221">
        <f t="shared" si="5"/>
        <v>1</v>
      </c>
      <c r="R111" s="995" t="s">
        <v>793</v>
      </c>
      <c r="S111" s="1005"/>
      <c r="T111" s="1003" t="s">
        <v>668</v>
      </c>
      <c r="U111" s="1062">
        <v>1</v>
      </c>
      <c r="V111" s="1072" t="s">
        <v>349</v>
      </c>
      <c r="W111" s="1059"/>
      <c r="AE111" s="995">
        <v>104</v>
      </c>
    </row>
    <row r="112" spans="1:31" ht="15" customHeight="1" x14ac:dyDescent="0.25">
      <c r="A112" s="137" t="s">
        <v>172</v>
      </c>
      <c r="B112" s="847" t="s">
        <v>172</v>
      </c>
      <c r="C112" s="845" t="s">
        <v>155</v>
      </c>
      <c r="H112" s="977">
        <f t="shared" si="5"/>
        <v>0</v>
      </c>
      <c r="R112" s="995" t="s">
        <v>794</v>
      </c>
      <c r="S112" s="1005"/>
      <c r="T112" s="1003" t="s">
        <v>669</v>
      </c>
      <c r="U112" s="1062">
        <v>2</v>
      </c>
      <c r="V112" s="1072" t="s">
        <v>349</v>
      </c>
      <c r="W112" s="1059"/>
      <c r="AE112" s="995">
        <v>105</v>
      </c>
    </row>
    <row r="113" spans="1:31" ht="15" customHeight="1" x14ac:dyDescent="0.25">
      <c r="A113" s="96" t="s">
        <v>769</v>
      </c>
      <c r="B113" s="166" t="s">
        <v>696</v>
      </c>
      <c r="C113" s="931" t="s">
        <v>645</v>
      </c>
      <c r="H113" s="221">
        <f t="shared" si="5"/>
        <v>1</v>
      </c>
      <c r="R113" s="995" t="s">
        <v>795</v>
      </c>
      <c r="S113" s="1005"/>
      <c r="T113" s="1003" t="s">
        <v>670</v>
      </c>
      <c r="U113" s="1062">
        <v>2</v>
      </c>
      <c r="V113" s="1072" t="s">
        <v>349</v>
      </c>
      <c r="W113" s="1059"/>
      <c r="AE113" s="995">
        <v>106</v>
      </c>
    </row>
    <row r="114" spans="1:31" ht="15" customHeight="1" x14ac:dyDescent="0.25">
      <c r="A114" s="137" t="s">
        <v>173</v>
      </c>
      <c r="B114" s="847" t="s">
        <v>173</v>
      </c>
      <c r="C114" s="845" t="s">
        <v>156</v>
      </c>
      <c r="H114" s="977">
        <f t="shared" si="5"/>
        <v>0</v>
      </c>
      <c r="R114" s="995" t="s">
        <v>796</v>
      </c>
      <c r="S114" s="1010" t="s">
        <v>375</v>
      </c>
      <c r="T114" s="1008" t="s">
        <v>376</v>
      </c>
      <c r="U114" s="1062">
        <v>1</v>
      </c>
      <c r="V114" s="1072" t="s">
        <v>349</v>
      </c>
      <c r="W114" s="1059"/>
      <c r="AE114" s="995">
        <v>107</v>
      </c>
    </row>
    <row r="115" spans="1:31" ht="15" customHeight="1" x14ac:dyDescent="0.25">
      <c r="A115" s="96" t="s">
        <v>770</v>
      </c>
      <c r="B115" s="163" t="s">
        <v>696</v>
      </c>
      <c r="C115" s="931" t="s">
        <v>646</v>
      </c>
      <c r="H115" s="221">
        <f t="shared" si="5"/>
        <v>1</v>
      </c>
      <c r="R115" s="995" t="s">
        <v>797</v>
      </c>
      <c r="S115" s="1010" t="s">
        <v>377</v>
      </c>
      <c r="T115" s="1008" t="s">
        <v>376</v>
      </c>
      <c r="U115" s="1062">
        <v>1</v>
      </c>
      <c r="V115" s="1072" t="s">
        <v>349</v>
      </c>
      <c r="W115" s="1059"/>
      <c r="AE115" s="995">
        <v>108</v>
      </c>
    </row>
    <row r="116" spans="1:31" ht="15.75" customHeight="1" x14ac:dyDescent="0.25">
      <c r="A116" s="96" t="s">
        <v>771</v>
      </c>
      <c r="B116" s="163" t="s">
        <v>699</v>
      </c>
      <c r="C116" s="931" t="s">
        <v>923</v>
      </c>
      <c r="H116" s="221">
        <f t="shared" si="5"/>
        <v>1</v>
      </c>
      <c r="R116" s="995" t="s">
        <v>798</v>
      </c>
      <c r="S116" s="1010" t="s">
        <v>181</v>
      </c>
      <c r="T116" s="1008" t="s">
        <v>378</v>
      </c>
      <c r="U116" s="1062">
        <v>1</v>
      </c>
      <c r="V116" s="1072" t="s">
        <v>349</v>
      </c>
      <c r="W116" s="1059"/>
      <c r="AE116" s="995">
        <v>109</v>
      </c>
    </row>
    <row r="117" spans="1:31" ht="15" customHeight="1" x14ac:dyDescent="0.25">
      <c r="A117" s="96" t="s">
        <v>772</v>
      </c>
      <c r="B117" s="166" t="s">
        <v>700</v>
      </c>
      <c r="C117" s="931" t="s">
        <v>648</v>
      </c>
      <c r="H117" s="221">
        <f t="shared" si="5"/>
        <v>1</v>
      </c>
      <c r="R117" s="995"/>
      <c r="S117" s="1001"/>
      <c r="T117" s="999"/>
      <c r="U117" s="1060"/>
      <c r="V117" s="1061"/>
      <c r="W117" s="1059"/>
      <c r="AE117" s="995">
        <v>110</v>
      </c>
    </row>
    <row r="118" spans="1:31" ht="15" customHeight="1" x14ac:dyDescent="0.25">
      <c r="A118" s="137" t="s">
        <v>174</v>
      </c>
      <c r="B118" s="847" t="s">
        <v>174</v>
      </c>
      <c r="C118" s="845" t="s">
        <v>157</v>
      </c>
      <c r="H118" s="977">
        <f t="shared" si="5"/>
        <v>0</v>
      </c>
      <c r="R118" s="995"/>
      <c r="S118" s="1000" t="s">
        <v>379</v>
      </c>
      <c r="T118" s="999"/>
      <c r="U118" s="1060"/>
      <c r="V118" s="1061"/>
      <c r="W118" s="1059"/>
      <c r="AE118" s="995">
        <v>111</v>
      </c>
    </row>
    <row r="119" spans="1:31" ht="15" customHeight="1" thickBot="1" x14ac:dyDescent="0.3">
      <c r="A119" s="96" t="s">
        <v>773</v>
      </c>
      <c r="B119" s="231" t="s">
        <v>696</v>
      </c>
      <c r="C119" s="931" t="s">
        <v>370</v>
      </c>
      <c r="H119" s="221">
        <f t="shared" si="5"/>
        <v>1</v>
      </c>
      <c r="R119" s="995" t="s">
        <v>801</v>
      </c>
      <c r="S119" s="1010" t="s">
        <v>182</v>
      </c>
      <c r="T119" s="1008" t="s">
        <v>380</v>
      </c>
      <c r="U119" s="1062">
        <v>1</v>
      </c>
      <c r="V119" s="1072" t="s">
        <v>349</v>
      </c>
      <c r="W119" s="1059"/>
      <c r="AE119" s="995">
        <v>112</v>
      </c>
    </row>
    <row r="120" spans="1:31" ht="15" customHeight="1" thickBot="1" x14ac:dyDescent="0.3">
      <c r="A120" s="96" t="s">
        <v>890</v>
      </c>
      <c r="B120" s="201"/>
      <c r="C120" s="202" t="s">
        <v>216</v>
      </c>
      <c r="H120" s="226">
        <f t="shared" si="5"/>
        <v>0</v>
      </c>
      <c r="R120" s="995"/>
      <c r="S120" s="1010" t="s">
        <v>183</v>
      </c>
      <c r="T120" s="1041" t="s">
        <v>855</v>
      </c>
      <c r="U120" s="1069"/>
      <c r="V120" s="1043"/>
      <c r="W120" s="1059"/>
      <c r="AE120" s="995">
        <v>113</v>
      </c>
    </row>
    <row r="121" spans="1:31" ht="15.75" thickBot="1" x14ac:dyDescent="0.3">
      <c r="A121" s="96"/>
      <c r="B121" s="96"/>
      <c r="C121" s="96"/>
      <c r="H121" s="96">
        <f t="shared" si="5"/>
        <v>0</v>
      </c>
      <c r="R121" s="995" t="s">
        <v>803</v>
      </c>
      <c r="S121" s="1005"/>
      <c r="T121" s="1003" t="s">
        <v>676</v>
      </c>
      <c r="U121" s="1062">
        <v>1</v>
      </c>
      <c r="V121" s="1072" t="s">
        <v>349</v>
      </c>
      <c r="W121" s="1059"/>
      <c r="AE121" s="995">
        <v>114</v>
      </c>
    </row>
    <row r="122" spans="1:31" ht="15.75" thickBot="1" x14ac:dyDescent="0.3">
      <c r="A122" s="96"/>
      <c r="B122" s="151"/>
      <c r="C122" s="152" t="s">
        <v>70</v>
      </c>
      <c r="H122" s="138">
        <f t="shared" si="5"/>
        <v>0</v>
      </c>
      <c r="R122" s="995" t="s">
        <v>804</v>
      </c>
      <c r="S122" s="1005"/>
      <c r="T122" s="1003" t="s">
        <v>677</v>
      </c>
      <c r="U122" s="1062">
        <v>1</v>
      </c>
      <c r="V122" s="1072" t="s">
        <v>349</v>
      </c>
      <c r="W122" s="1059"/>
      <c r="AE122" s="995">
        <v>115</v>
      </c>
    </row>
    <row r="123" spans="1:31" x14ac:dyDescent="0.25">
      <c r="A123" s="137" t="s">
        <v>175</v>
      </c>
      <c r="B123" s="872" t="s">
        <v>175</v>
      </c>
      <c r="C123" s="873" t="s">
        <v>465</v>
      </c>
      <c r="H123" s="975">
        <f t="shared" si="5"/>
        <v>0</v>
      </c>
      <c r="R123" s="995"/>
      <c r="S123" s="1010" t="s">
        <v>856</v>
      </c>
      <c r="T123" s="1013" t="s">
        <v>857</v>
      </c>
      <c r="U123" s="1071"/>
      <c r="V123" s="1079"/>
      <c r="W123" s="1059"/>
      <c r="AE123" s="995">
        <v>116</v>
      </c>
    </row>
    <row r="124" spans="1:31" x14ac:dyDescent="0.25">
      <c r="A124" s="137"/>
      <c r="B124" s="166" t="s">
        <v>696</v>
      </c>
      <c r="C124" s="954" t="s">
        <v>649</v>
      </c>
      <c r="H124" s="221">
        <f t="shared" si="5"/>
        <v>0</v>
      </c>
      <c r="R124" s="995" t="s">
        <v>806</v>
      </c>
      <c r="S124" s="1005"/>
      <c r="T124" s="1003" t="s">
        <v>679</v>
      </c>
      <c r="U124" s="1062">
        <v>1</v>
      </c>
      <c r="V124" s="1072" t="s">
        <v>349</v>
      </c>
      <c r="W124" s="1059"/>
      <c r="AE124" s="995">
        <v>117</v>
      </c>
    </row>
    <row r="125" spans="1:31" x14ac:dyDescent="0.25">
      <c r="A125" s="96" t="s">
        <v>775</v>
      </c>
      <c r="B125" s="166" t="s">
        <v>699</v>
      </c>
      <c r="C125" s="931" t="s">
        <v>650</v>
      </c>
      <c r="H125" s="221">
        <f t="shared" si="5"/>
        <v>3</v>
      </c>
      <c r="R125" s="995" t="s">
        <v>807</v>
      </c>
      <c r="S125" s="1005"/>
      <c r="T125" s="1003" t="s">
        <v>680</v>
      </c>
      <c r="U125" s="1062">
        <v>1</v>
      </c>
      <c r="V125" s="1072" t="s">
        <v>349</v>
      </c>
      <c r="W125" s="1059"/>
      <c r="AE125" s="995">
        <v>118</v>
      </c>
    </row>
    <row r="126" spans="1:31" x14ac:dyDescent="0.25">
      <c r="A126" s="96" t="s">
        <v>776</v>
      </c>
      <c r="B126" s="188" t="s">
        <v>700</v>
      </c>
      <c r="C126" s="931" t="s">
        <v>651</v>
      </c>
      <c r="H126" s="221">
        <f t="shared" si="5"/>
        <v>2</v>
      </c>
      <c r="R126" s="995"/>
      <c r="S126" s="1010" t="s">
        <v>184</v>
      </c>
      <c r="T126" s="1041" t="s">
        <v>858</v>
      </c>
      <c r="U126" s="1069"/>
      <c r="V126" s="1043"/>
      <c r="W126" s="1059"/>
      <c r="AE126" s="995">
        <v>119</v>
      </c>
    </row>
    <row r="127" spans="1:31" x14ac:dyDescent="0.25">
      <c r="A127" s="137" t="s">
        <v>480</v>
      </c>
      <c r="B127" s="960" t="s">
        <v>480</v>
      </c>
      <c r="C127" s="845" t="s">
        <v>466</v>
      </c>
      <c r="H127" s="977">
        <f t="shared" si="5"/>
        <v>0</v>
      </c>
      <c r="R127" s="995" t="s">
        <v>809</v>
      </c>
      <c r="S127" s="1005"/>
      <c r="T127" s="1003" t="s">
        <v>682</v>
      </c>
      <c r="U127" s="1062">
        <v>1</v>
      </c>
      <c r="V127" s="1072" t="s">
        <v>349</v>
      </c>
      <c r="W127" s="1059"/>
      <c r="AE127" s="995">
        <v>120</v>
      </c>
    </row>
    <row r="128" spans="1:31" x14ac:dyDescent="0.25">
      <c r="A128" s="137"/>
      <c r="B128" s="188" t="s">
        <v>696</v>
      </c>
      <c r="C128" s="954" t="s">
        <v>652</v>
      </c>
      <c r="H128" s="221">
        <f t="shared" si="5"/>
        <v>0</v>
      </c>
      <c r="R128" s="995" t="s">
        <v>810</v>
      </c>
      <c r="S128" s="1005"/>
      <c r="T128" s="1003" t="s">
        <v>683</v>
      </c>
      <c r="U128" s="1062">
        <v>3</v>
      </c>
      <c r="V128" s="1072" t="s">
        <v>349</v>
      </c>
      <c r="W128" s="1059"/>
      <c r="AE128" s="995">
        <v>121</v>
      </c>
    </row>
    <row r="129" spans="1:31" x14ac:dyDescent="0.25">
      <c r="A129" s="96" t="s">
        <v>778</v>
      </c>
      <c r="B129" s="188" t="s">
        <v>699</v>
      </c>
      <c r="C129" s="931" t="s">
        <v>653</v>
      </c>
      <c r="H129" s="221">
        <f t="shared" si="5"/>
        <v>1</v>
      </c>
      <c r="R129" s="995"/>
      <c r="S129" s="1010" t="s">
        <v>185</v>
      </c>
      <c r="T129" s="1041" t="s">
        <v>381</v>
      </c>
      <c r="U129" s="1069"/>
      <c r="V129" s="1043"/>
      <c r="W129" s="1059"/>
      <c r="AE129" s="995">
        <v>122</v>
      </c>
    </row>
    <row r="130" spans="1:31" x14ac:dyDescent="0.25">
      <c r="A130" s="96" t="s">
        <v>779</v>
      </c>
      <c r="B130" s="188" t="s">
        <v>700</v>
      </c>
      <c r="C130" s="931" t="s">
        <v>654</v>
      </c>
      <c r="H130" s="221">
        <f t="shared" si="5"/>
        <v>1</v>
      </c>
      <c r="R130" s="995" t="s">
        <v>812</v>
      </c>
      <c r="S130" s="1005"/>
      <c r="T130" s="1003" t="s">
        <v>685</v>
      </c>
      <c r="U130" s="1062">
        <v>1</v>
      </c>
      <c r="V130" s="1072" t="s">
        <v>349</v>
      </c>
      <c r="W130" s="1059"/>
      <c r="AE130" s="995">
        <v>123</v>
      </c>
    </row>
    <row r="131" spans="1:31" x14ac:dyDescent="0.25">
      <c r="A131" s="137" t="s">
        <v>176</v>
      </c>
      <c r="B131" s="960" t="s">
        <v>176</v>
      </c>
      <c r="C131" s="845" t="s">
        <v>467</v>
      </c>
      <c r="H131" s="977">
        <f t="shared" si="5"/>
        <v>0</v>
      </c>
      <c r="R131" s="995" t="s">
        <v>813</v>
      </c>
      <c r="S131" s="1005"/>
      <c r="T131" s="1003" t="s">
        <v>686</v>
      </c>
      <c r="U131" s="1062">
        <v>1</v>
      </c>
      <c r="V131" s="1072" t="s">
        <v>349</v>
      </c>
      <c r="W131" s="1059"/>
      <c r="AE131" s="995">
        <v>124</v>
      </c>
    </row>
    <row r="132" spans="1:31" x14ac:dyDescent="0.25">
      <c r="A132" s="96"/>
      <c r="B132" s="188" t="s">
        <v>696</v>
      </c>
      <c r="C132" s="959" t="s">
        <v>655</v>
      </c>
      <c r="H132" s="221">
        <f t="shared" si="5"/>
        <v>0</v>
      </c>
      <c r="R132" s="995" t="s">
        <v>814</v>
      </c>
      <c r="S132" s="1010" t="s">
        <v>186</v>
      </c>
      <c r="T132" s="1008" t="s">
        <v>859</v>
      </c>
      <c r="U132" s="1062">
        <v>1</v>
      </c>
      <c r="V132" s="1072" t="s">
        <v>349</v>
      </c>
      <c r="W132" s="1059"/>
      <c r="AE132" s="995">
        <v>125</v>
      </c>
    </row>
    <row r="133" spans="1:31" x14ac:dyDescent="0.25">
      <c r="A133" s="96" t="s">
        <v>781</v>
      </c>
      <c r="B133" s="188" t="s">
        <v>699</v>
      </c>
      <c r="C133" s="931" t="s">
        <v>656</v>
      </c>
      <c r="H133" s="221">
        <f t="shared" si="5"/>
        <v>1</v>
      </c>
      <c r="R133" s="995" t="s">
        <v>816</v>
      </c>
      <c r="S133" s="1011" t="s">
        <v>860</v>
      </c>
      <c r="T133" s="1012" t="s">
        <v>861</v>
      </c>
      <c r="U133" s="1062">
        <v>2</v>
      </c>
      <c r="V133" s="1072" t="s">
        <v>349</v>
      </c>
      <c r="W133" s="1059"/>
      <c r="AE133" s="995">
        <v>126</v>
      </c>
    </row>
    <row r="134" spans="1:31" x14ac:dyDescent="0.25">
      <c r="A134" s="96" t="s">
        <v>782</v>
      </c>
      <c r="B134" s="188" t="s">
        <v>700</v>
      </c>
      <c r="C134" s="931" t="s">
        <v>657</v>
      </c>
      <c r="H134" s="221">
        <f t="shared" si="5"/>
        <v>1</v>
      </c>
      <c r="R134" s="995"/>
      <c r="S134" s="1011" t="s">
        <v>862</v>
      </c>
      <c r="T134" s="1049" t="s">
        <v>863</v>
      </c>
      <c r="U134" s="1071"/>
      <c r="V134" s="1079"/>
      <c r="W134" s="1059"/>
      <c r="AE134" s="995">
        <v>127</v>
      </c>
    </row>
    <row r="135" spans="1:31" x14ac:dyDescent="0.25">
      <c r="A135" s="137" t="s">
        <v>177</v>
      </c>
      <c r="B135" s="960" t="s">
        <v>177</v>
      </c>
      <c r="C135" s="845" t="s">
        <v>468</v>
      </c>
      <c r="H135" s="977">
        <f t="shared" si="5"/>
        <v>0</v>
      </c>
      <c r="R135" s="995" t="s">
        <v>818</v>
      </c>
      <c r="S135" s="1007"/>
      <c r="T135" s="1003" t="s">
        <v>691</v>
      </c>
      <c r="U135" s="1062">
        <v>1</v>
      </c>
      <c r="V135" s="1072" t="s">
        <v>349</v>
      </c>
      <c r="W135" s="1059"/>
      <c r="AE135" s="995">
        <v>128</v>
      </c>
    </row>
    <row r="136" spans="1:31" s="995" customFormat="1" x14ac:dyDescent="0.25">
      <c r="A136" s="96"/>
      <c r="B136" s="188" t="s">
        <v>696</v>
      </c>
      <c r="C136" s="954" t="s">
        <v>658</v>
      </c>
      <c r="D136"/>
      <c r="E136"/>
      <c r="F136" s="30"/>
      <c r="G136"/>
      <c r="H136" s="221">
        <f t="shared" ref="H136:H198" si="9">SUMIF($R$7:$R$182,A136,$U$7:$U$182)</f>
        <v>0</v>
      </c>
      <c r="I136"/>
      <c r="J136"/>
      <c r="K136"/>
      <c r="R136" s="995" t="s">
        <v>819</v>
      </c>
      <c r="S136" s="1007"/>
      <c r="T136" s="1003" t="s">
        <v>692</v>
      </c>
      <c r="U136" s="1062">
        <v>1</v>
      </c>
      <c r="V136" s="1072" t="s">
        <v>349</v>
      </c>
      <c r="W136" s="1059"/>
      <c r="X136"/>
      <c r="Y136"/>
      <c r="Z136"/>
      <c r="AA136"/>
      <c r="AB136"/>
      <c r="AC136"/>
      <c r="AD136"/>
      <c r="AE136" s="995">
        <v>129</v>
      </c>
    </row>
    <row r="137" spans="1:31" x14ac:dyDescent="0.25">
      <c r="A137" s="96" t="s">
        <v>784</v>
      </c>
      <c r="B137" s="188" t="s">
        <v>699</v>
      </c>
      <c r="C137" s="931" t="s">
        <v>659</v>
      </c>
      <c r="D137" s="995"/>
      <c r="E137" s="995"/>
      <c r="F137" s="995"/>
      <c r="G137" s="995"/>
      <c r="H137" s="221">
        <f t="shared" si="9"/>
        <v>1</v>
      </c>
      <c r="I137" s="995"/>
      <c r="J137" s="995"/>
      <c r="K137" s="995"/>
      <c r="R137" s="995"/>
      <c r="S137" s="1007"/>
      <c r="T137" s="1009"/>
      <c r="U137" s="1068"/>
      <c r="V137" s="1061"/>
      <c r="W137" s="1059"/>
      <c r="AE137" s="995">
        <v>130</v>
      </c>
    </row>
    <row r="138" spans="1:31" x14ac:dyDescent="0.25">
      <c r="A138" s="96" t="s">
        <v>785</v>
      </c>
      <c r="B138" s="188" t="s">
        <v>700</v>
      </c>
      <c r="C138" s="931" t="s">
        <v>660</v>
      </c>
      <c r="H138" s="221">
        <f t="shared" si="9"/>
        <v>1</v>
      </c>
      <c r="R138" s="995"/>
      <c r="S138" s="1000" t="s">
        <v>382</v>
      </c>
      <c r="T138" s="999"/>
      <c r="U138" s="1060"/>
      <c r="V138" s="1061"/>
      <c r="W138" s="1059"/>
      <c r="AE138" s="995">
        <v>131</v>
      </c>
    </row>
    <row r="139" spans="1:31" x14ac:dyDescent="0.25">
      <c r="A139" s="96" t="s">
        <v>786</v>
      </c>
      <c r="B139" s="188" t="s">
        <v>698</v>
      </c>
      <c r="C139" s="1025" t="s">
        <v>897</v>
      </c>
      <c r="H139" s="1050">
        <f>IF(SUMIF($R$7:$R$182,A139,$U$7:$U$182)=2,1,SUMIF($R$7:$R$182,A139,$U$7:$U$182))</f>
        <v>1</v>
      </c>
      <c r="I139" t="s">
        <v>949</v>
      </c>
      <c r="R139" s="995" t="s">
        <v>820</v>
      </c>
      <c r="S139" s="1010" t="s">
        <v>383</v>
      </c>
      <c r="T139" s="1008" t="s">
        <v>384</v>
      </c>
      <c r="U139" s="1062">
        <v>3</v>
      </c>
      <c r="V139" s="1072" t="s">
        <v>349</v>
      </c>
      <c r="W139" s="1059"/>
      <c r="AE139" s="995">
        <v>132</v>
      </c>
    </row>
    <row r="140" spans="1:31" x14ac:dyDescent="0.25">
      <c r="A140" s="96" t="s">
        <v>899</v>
      </c>
      <c r="B140" s="188" t="s">
        <v>697</v>
      </c>
      <c r="C140" s="1025" t="s">
        <v>898</v>
      </c>
      <c r="H140" s="1050">
        <f>IF(SUMIF($R$7:$R$182,A139,$U$7:$U$182)=2,1,0)</f>
        <v>1</v>
      </c>
      <c r="I140" s="1057" t="s">
        <v>949</v>
      </c>
      <c r="R140" s="995" t="s">
        <v>823</v>
      </c>
      <c r="S140" s="1010" t="s">
        <v>385</v>
      </c>
      <c r="T140" s="1008" t="s">
        <v>864</v>
      </c>
      <c r="U140" s="1062">
        <v>2</v>
      </c>
      <c r="V140" s="1072" t="s">
        <v>349</v>
      </c>
      <c r="W140" s="1059"/>
      <c r="AE140" s="995">
        <v>133</v>
      </c>
    </row>
    <row r="141" spans="1:31" x14ac:dyDescent="0.25">
      <c r="A141" s="137" t="s">
        <v>178</v>
      </c>
      <c r="B141" s="960" t="s">
        <v>178</v>
      </c>
      <c r="C141" s="845" t="s">
        <v>469</v>
      </c>
      <c r="H141" s="977">
        <f t="shared" si="9"/>
        <v>0</v>
      </c>
      <c r="R141" s="995" t="s">
        <v>825</v>
      </c>
      <c r="S141" s="1010" t="s">
        <v>387</v>
      </c>
      <c r="T141" s="1008" t="s">
        <v>388</v>
      </c>
      <c r="U141" s="1062">
        <v>1</v>
      </c>
      <c r="V141" s="1072" t="s">
        <v>349</v>
      </c>
      <c r="W141" s="1059"/>
      <c r="AE141" s="995">
        <v>134</v>
      </c>
    </row>
    <row r="142" spans="1:31" x14ac:dyDescent="0.25">
      <c r="A142" s="96" t="s">
        <v>787</v>
      </c>
      <c r="B142" s="961" t="s">
        <v>696</v>
      </c>
      <c r="C142" s="931" t="s">
        <v>662</v>
      </c>
      <c r="H142" s="221">
        <f t="shared" si="9"/>
        <v>1</v>
      </c>
      <c r="R142" s="995" t="s">
        <v>827</v>
      </c>
      <c r="S142" s="1010" t="s">
        <v>389</v>
      </c>
      <c r="T142" s="1008" t="s">
        <v>390</v>
      </c>
      <c r="U142" s="1062">
        <v>1</v>
      </c>
      <c r="V142" s="1072" t="s">
        <v>349</v>
      </c>
      <c r="W142" s="1059"/>
      <c r="AE142" s="995">
        <v>135</v>
      </c>
    </row>
    <row r="143" spans="1:31" x14ac:dyDescent="0.25">
      <c r="A143" s="96" t="s">
        <v>788</v>
      </c>
      <c r="B143" s="961" t="s">
        <v>699</v>
      </c>
      <c r="C143" s="931" t="s">
        <v>663</v>
      </c>
      <c r="H143" s="221">
        <f t="shared" si="9"/>
        <v>1</v>
      </c>
      <c r="R143" s="995"/>
      <c r="S143" s="1001"/>
      <c r="T143" s="999"/>
      <c r="U143" s="1060"/>
      <c r="V143" s="1061"/>
      <c r="W143" s="1059"/>
      <c r="AE143" s="995">
        <v>136</v>
      </c>
    </row>
    <row r="144" spans="1:31" x14ac:dyDescent="0.25">
      <c r="A144" s="96" t="s">
        <v>789</v>
      </c>
      <c r="B144" s="961" t="s">
        <v>700</v>
      </c>
      <c r="C144" s="931" t="s">
        <v>664</v>
      </c>
      <c r="H144" s="221">
        <f t="shared" si="9"/>
        <v>2</v>
      </c>
      <c r="R144" s="995"/>
      <c r="S144" s="1000" t="s">
        <v>391</v>
      </c>
      <c r="T144" s="999"/>
      <c r="U144" s="1060"/>
      <c r="V144" s="1061"/>
      <c r="W144" s="1059"/>
      <c r="AE144" s="995">
        <v>137</v>
      </c>
    </row>
    <row r="145" spans="1:31" x14ac:dyDescent="0.25">
      <c r="A145" s="137" t="s">
        <v>481</v>
      </c>
      <c r="B145" s="960" t="s">
        <v>481</v>
      </c>
      <c r="C145" s="845" t="s">
        <v>470</v>
      </c>
      <c r="H145" s="977">
        <f t="shared" si="9"/>
        <v>0</v>
      </c>
      <c r="R145" s="995" t="s">
        <v>192</v>
      </c>
      <c r="S145" s="1005" t="s">
        <v>550</v>
      </c>
      <c r="T145" s="1003" t="s">
        <v>865</v>
      </c>
      <c r="U145" s="1062">
        <v>1</v>
      </c>
      <c r="V145" s="1072" t="s">
        <v>349</v>
      </c>
      <c r="W145" s="1059"/>
      <c r="AE145" s="995">
        <v>138</v>
      </c>
    </row>
    <row r="146" spans="1:31" x14ac:dyDescent="0.25">
      <c r="A146" s="96" t="s">
        <v>790</v>
      </c>
      <c r="B146" s="961" t="s">
        <v>696</v>
      </c>
      <c r="C146" s="931" t="s">
        <v>665</v>
      </c>
      <c r="H146" s="221">
        <f t="shared" si="9"/>
        <v>1</v>
      </c>
      <c r="R146" s="995" t="s">
        <v>193</v>
      </c>
      <c r="S146" s="1005" t="s">
        <v>866</v>
      </c>
      <c r="T146" s="1003" t="s">
        <v>867</v>
      </c>
      <c r="U146" s="1062">
        <v>1</v>
      </c>
      <c r="V146" s="1072" t="s">
        <v>349</v>
      </c>
      <c r="W146" s="1059"/>
      <c r="AE146" s="995">
        <v>139</v>
      </c>
    </row>
    <row r="147" spans="1:31" x14ac:dyDescent="0.25">
      <c r="A147" s="96" t="s">
        <v>791</v>
      </c>
      <c r="B147" s="961" t="s">
        <v>699</v>
      </c>
      <c r="C147" s="931" t="s">
        <v>666</v>
      </c>
      <c r="H147" s="221">
        <f t="shared" si="9"/>
        <v>1</v>
      </c>
      <c r="R147" s="995" t="s">
        <v>194</v>
      </c>
      <c r="S147" s="1005" t="s">
        <v>866</v>
      </c>
      <c r="T147" s="1003" t="s">
        <v>868</v>
      </c>
      <c r="U147" s="1062">
        <v>1</v>
      </c>
      <c r="V147" s="1072" t="s">
        <v>349</v>
      </c>
      <c r="W147" s="1059"/>
      <c r="AE147" s="995">
        <v>140</v>
      </c>
    </row>
    <row r="148" spans="1:31" ht="15.75" thickBot="1" x14ac:dyDescent="0.3">
      <c r="A148" s="96" t="s">
        <v>792</v>
      </c>
      <c r="B148" s="962" t="s">
        <v>700</v>
      </c>
      <c r="C148" s="964" t="s">
        <v>667</v>
      </c>
      <c r="H148" s="221">
        <f t="shared" si="9"/>
        <v>2</v>
      </c>
      <c r="R148" s="995" t="s">
        <v>195</v>
      </c>
      <c r="S148" s="1005" t="s">
        <v>544</v>
      </c>
      <c r="T148" s="1003" t="s">
        <v>869</v>
      </c>
      <c r="U148" s="1062">
        <v>1</v>
      </c>
      <c r="V148" s="1072" t="s">
        <v>349</v>
      </c>
      <c r="W148" s="1059"/>
      <c r="AE148" s="995">
        <v>141</v>
      </c>
    </row>
    <row r="149" spans="1:31" ht="15.75" thickBot="1" x14ac:dyDescent="0.3">
      <c r="A149" s="96" t="s">
        <v>891</v>
      </c>
      <c r="B149" s="722"/>
      <c r="C149" s="721" t="s">
        <v>216</v>
      </c>
      <c r="H149" s="226">
        <f t="shared" si="9"/>
        <v>0</v>
      </c>
      <c r="R149" s="995" t="s">
        <v>196</v>
      </c>
      <c r="S149" s="1005" t="s">
        <v>575</v>
      </c>
      <c r="T149" s="1003" t="s">
        <v>870</v>
      </c>
      <c r="U149" s="1062">
        <v>1</v>
      </c>
      <c r="V149" s="1072" t="s">
        <v>349</v>
      </c>
      <c r="W149" s="1059"/>
      <c r="AE149" s="995">
        <v>142</v>
      </c>
    </row>
    <row r="150" spans="1:31" ht="15.75" thickBot="1" x14ac:dyDescent="0.3">
      <c r="A150" s="96"/>
      <c r="B150" s="96"/>
      <c r="C150" s="96"/>
      <c r="H150" s="96">
        <f t="shared" si="9"/>
        <v>0</v>
      </c>
      <c r="R150" s="995" t="s">
        <v>197</v>
      </c>
      <c r="S150" s="1005" t="s">
        <v>575</v>
      </c>
      <c r="T150" s="1003" t="s">
        <v>871</v>
      </c>
      <c r="U150" s="1062">
        <v>1</v>
      </c>
      <c r="V150" s="1072" t="s">
        <v>349</v>
      </c>
      <c r="W150" s="1059"/>
      <c r="AE150" s="995">
        <v>143</v>
      </c>
    </row>
    <row r="151" spans="1:31" ht="15.75" thickBot="1" x14ac:dyDescent="0.3">
      <c r="A151" s="96"/>
      <c r="B151" s="145"/>
      <c r="C151" s="146" t="s">
        <v>71</v>
      </c>
      <c r="H151" s="138">
        <f t="shared" si="9"/>
        <v>0</v>
      </c>
      <c r="R151" s="995" t="s">
        <v>198</v>
      </c>
      <c r="S151" s="1005" t="s">
        <v>872</v>
      </c>
      <c r="T151" s="1003" t="s">
        <v>873</v>
      </c>
      <c r="U151" s="1062">
        <v>1</v>
      </c>
      <c r="V151" s="1072" t="s">
        <v>349</v>
      </c>
      <c r="W151" s="1059"/>
      <c r="AE151" s="995">
        <v>144</v>
      </c>
    </row>
    <row r="152" spans="1:31" x14ac:dyDescent="0.25">
      <c r="A152" s="137" t="s">
        <v>179</v>
      </c>
      <c r="B152" s="846" t="s">
        <v>179</v>
      </c>
      <c r="C152" s="844" t="s">
        <v>161</v>
      </c>
      <c r="H152" s="975">
        <f t="shared" si="9"/>
        <v>0</v>
      </c>
      <c r="R152" s="995" t="s">
        <v>226</v>
      </c>
      <c r="S152" s="1005" t="s">
        <v>4</v>
      </c>
      <c r="T152" s="1003" t="s">
        <v>874</v>
      </c>
      <c r="U152" s="1062">
        <v>1</v>
      </c>
      <c r="V152" s="1072" t="s">
        <v>349</v>
      </c>
      <c r="W152" s="1059"/>
      <c r="AE152" s="995">
        <v>145</v>
      </c>
    </row>
    <row r="153" spans="1:31" x14ac:dyDescent="0.25">
      <c r="A153" s="96" t="s">
        <v>793</v>
      </c>
      <c r="B153" s="163" t="s">
        <v>696</v>
      </c>
      <c r="C153" s="931" t="s">
        <v>668</v>
      </c>
      <c r="H153" s="221">
        <f t="shared" si="9"/>
        <v>1</v>
      </c>
      <c r="R153" s="995" t="s">
        <v>256</v>
      </c>
      <c r="S153" s="1005" t="s">
        <v>553</v>
      </c>
      <c r="T153" s="1003" t="s">
        <v>875</v>
      </c>
      <c r="U153" s="1062">
        <v>1</v>
      </c>
      <c r="V153" s="1072" t="s">
        <v>349</v>
      </c>
      <c r="W153" s="1059"/>
      <c r="AE153" s="995">
        <v>146</v>
      </c>
    </row>
    <row r="154" spans="1:31" x14ac:dyDescent="0.25">
      <c r="A154" s="96" t="s">
        <v>794</v>
      </c>
      <c r="B154" s="163" t="s">
        <v>699</v>
      </c>
      <c r="C154" s="931" t="s">
        <v>669</v>
      </c>
      <c r="H154" s="221">
        <f t="shared" si="9"/>
        <v>2</v>
      </c>
      <c r="R154" s="995" t="s">
        <v>476</v>
      </c>
      <c r="S154" s="996" t="s">
        <v>555</v>
      </c>
      <c r="T154" s="1003" t="s">
        <v>876</v>
      </c>
      <c r="U154" s="1062">
        <v>1</v>
      </c>
      <c r="V154" s="1072" t="s">
        <v>349</v>
      </c>
      <c r="W154" s="1059"/>
      <c r="AE154" s="995">
        <v>147</v>
      </c>
    </row>
    <row r="155" spans="1:31" x14ac:dyDescent="0.25">
      <c r="A155" s="96" t="s">
        <v>795</v>
      </c>
      <c r="B155" s="163" t="s">
        <v>700</v>
      </c>
      <c r="C155" s="931" t="s">
        <v>670</v>
      </c>
      <c r="H155" s="221">
        <f t="shared" si="9"/>
        <v>2</v>
      </c>
      <c r="R155" s="995" t="s">
        <v>477</v>
      </c>
      <c r="S155" s="996" t="s">
        <v>877</v>
      </c>
      <c r="T155" s="1003" t="s">
        <v>878</v>
      </c>
      <c r="U155" s="1062">
        <v>1</v>
      </c>
      <c r="V155" s="1072" t="s">
        <v>349</v>
      </c>
      <c r="W155" s="1059"/>
      <c r="AE155" s="995">
        <v>148</v>
      </c>
    </row>
    <row r="156" spans="1:31" x14ac:dyDescent="0.25">
      <c r="A156" s="96"/>
      <c r="B156" s="712" t="s">
        <v>180</v>
      </c>
      <c r="C156" s="713"/>
      <c r="H156" s="970">
        <f t="shared" si="9"/>
        <v>0</v>
      </c>
      <c r="R156" s="995" t="s">
        <v>478</v>
      </c>
      <c r="S156" s="996" t="s">
        <v>879</v>
      </c>
      <c r="T156" s="1003" t="s">
        <v>880</v>
      </c>
      <c r="U156" s="1062">
        <v>1</v>
      </c>
      <c r="V156" s="1072" t="s">
        <v>349</v>
      </c>
      <c r="W156" s="1059"/>
      <c r="AE156" s="995">
        <v>149</v>
      </c>
    </row>
    <row r="157" spans="1:31" x14ac:dyDescent="0.25">
      <c r="A157" s="137" t="s">
        <v>375</v>
      </c>
      <c r="B157" s="847" t="s">
        <v>375</v>
      </c>
      <c r="C157" s="845" t="s">
        <v>799</v>
      </c>
      <c r="H157" s="221">
        <f t="shared" si="9"/>
        <v>0</v>
      </c>
      <c r="R157" s="995" t="s">
        <v>479</v>
      </c>
      <c r="S157" s="996" t="s">
        <v>881</v>
      </c>
      <c r="T157" s="1003" t="s">
        <v>882</v>
      </c>
      <c r="U157" s="1062">
        <v>1</v>
      </c>
      <c r="V157" s="1072" t="s">
        <v>349</v>
      </c>
      <c r="W157" s="1059"/>
      <c r="AE157" s="995">
        <v>150</v>
      </c>
    </row>
    <row r="158" spans="1:31" x14ac:dyDescent="0.25">
      <c r="A158" s="96" t="s">
        <v>796</v>
      </c>
      <c r="B158" s="166" t="s">
        <v>696</v>
      </c>
      <c r="C158" s="931" t="s">
        <v>376</v>
      </c>
      <c r="H158" s="221">
        <f>SUMIF($R$7:$R$182,A158,$U$7:$U$182)</f>
        <v>1</v>
      </c>
      <c r="R158" s="995" t="s">
        <v>701</v>
      </c>
      <c r="S158" s="996" t="s">
        <v>862</v>
      </c>
      <c r="T158" s="1003" t="s">
        <v>883</v>
      </c>
      <c r="U158" s="1062">
        <v>1</v>
      </c>
      <c r="V158" s="1072" t="s">
        <v>349</v>
      </c>
      <c r="W158" s="1059"/>
      <c r="AE158" s="995">
        <v>151</v>
      </c>
    </row>
    <row r="159" spans="1:31" x14ac:dyDescent="0.25">
      <c r="A159" s="137" t="s">
        <v>377</v>
      </c>
      <c r="B159" s="847" t="s">
        <v>377</v>
      </c>
      <c r="C159" s="845" t="s">
        <v>800</v>
      </c>
      <c r="H159" s="977">
        <f t="shared" si="9"/>
        <v>0</v>
      </c>
      <c r="R159" s="995"/>
      <c r="T159" s="995"/>
      <c r="U159" s="995"/>
      <c r="V159" s="1061"/>
      <c r="W159" s="1059"/>
      <c r="Z159">
        <v>2</v>
      </c>
      <c r="AE159" s="995">
        <v>152</v>
      </c>
    </row>
    <row r="160" spans="1:31" x14ac:dyDescent="0.25">
      <c r="A160" s="96" t="s">
        <v>797</v>
      </c>
      <c r="B160" s="166" t="s">
        <v>696</v>
      </c>
      <c r="C160" s="931" t="s">
        <v>671</v>
      </c>
      <c r="H160" s="221">
        <f t="shared" si="9"/>
        <v>1</v>
      </c>
      <c r="T160" s="995"/>
      <c r="U160" s="995"/>
      <c r="V160" s="1061"/>
      <c r="W160" s="1059"/>
      <c r="AE160" s="995">
        <v>153</v>
      </c>
    </row>
    <row r="161" spans="1:31" x14ac:dyDescent="0.25">
      <c r="A161" s="137" t="s">
        <v>181</v>
      </c>
      <c r="B161" s="847" t="s">
        <v>181</v>
      </c>
      <c r="C161" s="845" t="s">
        <v>673</v>
      </c>
      <c r="H161" s="977">
        <f t="shared" si="9"/>
        <v>0</v>
      </c>
      <c r="T161" s="995"/>
      <c r="U161" s="995"/>
      <c r="V161" s="1061"/>
      <c r="W161" s="1059"/>
      <c r="AE161" s="995">
        <v>154</v>
      </c>
    </row>
    <row r="162" spans="1:31" ht="15.75" thickBot="1" x14ac:dyDescent="0.3">
      <c r="A162" s="96" t="s">
        <v>798</v>
      </c>
      <c r="B162" s="231" t="s">
        <v>696</v>
      </c>
      <c r="C162" s="931" t="s">
        <v>672</v>
      </c>
      <c r="H162" s="221">
        <f t="shared" si="9"/>
        <v>1</v>
      </c>
      <c r="T162" s="995"/>
      <c r="U162" s="995"/>
      <c r="V162" s="1061"/>
      <c r="W162" s="1059"/>
      <c r="AE162" s="995">
        <v>155</v>
      </c>
    </row>
    <row r="163" spans="1:31" ht="15.75" thickBot="1" x14ac:dyDescent="0.3">
      <c r="A163" s="96" t="s">
        <v>892</v>
      </c>
      <c r="B163" s="201"/>
      <c r="C163" s="202" t="s">
        <v>216</v>
      </c>
      <c r="H163" s="226">
        <f t="shared" si="9"/>
        <v>0</v>
      </c>
      <c r="T163" s="995"/>
      <c r="U163" s="995"/>
      <c r="V163" s="1061"/>
      <c r="W163" s="1059"/>
      <c r="AE163" s="995">
        <v>156</v>
      </c>
    </row>
    <row r="164" spans="1:31" ht="15.75" thickBot="1" x14ac:dyDescent="0.3">
      <c r="A164" s="96"/>
      <c r="B164" s="96"/>
      <c r="C164" s="96"/>
      <c r="H164" s="96">
        <f t="shared" si="9"/>
        <v>0</v>
      </c>
      <c r="T164" s="995"/>
      <c r="U164" s="995"/>
      <c r="V164" s="1061"/>
      <c r="W164" s="1059"/>
      <c r="AE164" s="995">
        <v>157</v>
      </c>
    </row>
    <row r="165" spans="1:31" ht="15.75" thickBot="1" x14ac:dyDescent="0.3">
      <c r="A165" s="96"/>
      <c r="B165" s="151"/>
      <c r="C165" s="152" t="s">
        <v>227</v>
      </c>
      <c r="H165" s="138">
        <f t="shared" si="9"/>
        <v>0</v>
      </c>
      <c r="T165" s="995"/>
      <c r="U165" s="995"/>
      <c r="V165" s="1061"/>
      <c r="W165" s="1059"/>
    </row>
    <row r="166" spans="1:31" x14ac:dyDescent="0.25">
      <c r="A166" s="137" t="s">
        <v>182</v>
      </c>
      <c r="B166" s="872" t="s">
        <v>182</v>
      </c>
      <c r="C166" s="873" t="s">
        <v>162</v>
      </c>
      <c r="H166" s="975">
        <f t="shared" si="9"/>
        <v>0</v>
      </c>
      <c r="T166" s="995"/>
      <c r="U166" s="995"/>
      <c r="V166" s="1061"/>
      <c r="W166" s="1059"/>
    </row>
    <row r="167" spans="1:31" x14ac:dyDescent="0.25">
      <c r="A167" s="96" t="s">
        <v>801</v>
      </c>
      <c r="B167" s="166" t="s">
        <v>696</v>
      </c>
      <c r="C167" s="931" t="s">
        <v>674</v>
      </c>
      <c r="H167" s="221">
        <f t="shared" si="9"/>
        <v>1</v>
      </c>
      <c r="T167" s="995"/>
      <c r="U167" s="995"/>
      <c r="V167" s="1061"/>
      <c r="W167" s="1059"/>
    </row>
    <row r="168" spans="1:31" x14ac:dyDescent="0.25">
      <c r="A168" s="137" t="s">
        <v>183</v>
      </c>
      <c r="B168" s="847" t="s">
        <v>183</v>
      </c>
      <c r="C168" s="845" t="s">
        <v>471</v>
      </c>
      <c r="H168" s="977">
        <f t="shared" si="9"/>
        <v>0</v>
      </c>
      <c r="T168" s="995"/>
      <c r="U168" s="995"/>
      <c r="V168" s="1061"/>
      <c r="W168" s="1059"/>
    </row>
    <row r="169" spans="1:31" x14ac:dyDescent="0.25">
      <c r="A169" s="96"/>
      <c r="B169" s="166" t="s">
        <v>696</v>
      </c>
      <c r="C169" s="954" t="s">
        <v>675</v>
      </c>
      <c r="H169" s="221">
        <f t="shared" si="9"/>
        <v>0</v>
      </c>
      <c r="T169" s="995"/>
      <c r="U169" s="995"/>
      <c r="V169" s="1061"/>
      <c r="W169" s="1059"/>
    </row>
    <row r="170" spans="1:31" x14ac:dyDescent="0.25">
      <c r="A170" s="96" t="s">
        <v>803</v>
      </c>
      <c r="B170" s="188" t="s">
        <v>699</v>
      </c>
      <c r="C170" s="931" t="s">
        <v>676</v>
      </c>
      <c r="H170" s="221">
        <f t="shared" si="9"/>
        <v>1</v>
      </c>
      <c r="T170" s="995"/>
      <c r="U170" s="995"/>
      <c r="V170" s="1061"/>
      <c r="W170" s="1059"/>
    </row>
    <row r="171" spans="1:31" x14ac:dyDescent="0.25">
      <c r="A171" s="96" t="s">
        <v>804</v>
      </c>
      <c r="B171" s="188" t="s">
        <v>700</v>
      </c>
      <c r="C171" s="931" t="s">
        <v>677</v>
      </c>
      <c r="H171" s="221">
        <f t="shared" si="9"/>
        <v>1</v>
      </c>
      <c r="T171" s="995"/>
      <c r="U171" s="995"/>
      <c r="V171" s="1061"/>
      <c r="W171" s="1059"/>
    </row>
    <row r="172" spans="1:31" x14ac:dyDescent="0.25">
      <c r="A172" s="137" t="s">
        <v>482</v>
      </c>
      <c r="B172" s="960" t="s">
        <v>482</v>
      </c>
      <c r="C172" s="845" t="s">
        <v>472</v>
      </c>
      <c r="H172" s="977">
        <f t="shared" si="9"/>
        <v>0</v>
      </c>
      <c r="T172" s="995"/>
      <c r="U172" s="995"/>
      <c r="V172" s="1061"/>
      <c r="W172" s="1059"/>
    </row>
    <row r="173" spans="1:31" x14ac:dyDescent="0.25">
      <c r="A173" s="96"/>
      <c r="B173" s="188" t="s">
        <v>696</v>
      </c>
      <c r="C173" s="954" t="s">
        <v>678</v>
      </c>
      <c r="H173" s="221">
        <f t="shared" si="9"/>
        <v>0</v>
      </c>
      <c r="T173" s="995"/>
      <c r="U173" s="995"/>
      <c r="V173" s="1061"/>
      <c r="W173" s="1059"/>
    </row>
    <row r="174" spans="1:31" x14ac:dyDescent="0.25">
      <c r="A174" s="96" t="s">
        <v>806</v>
      </c>
      <c r="B174" s="188" t="s">
        <v>699</v>
      </c>
      <c r="C174" s="931" t="s">
        <v>679</v>
      </c>
      <c r="H174" s="221">
        <f t="shared" si="9"/>
        <v>1</v>
      </c>
      <c r="T174" s="995"/>
      <c r="U174" s="995"/>
      <c r="V174" s="995"/>
      <c r="W174" s="1059"/>
    </row>
    <row r="175" spans="1:31" x14ac:dyDescent="0.25">
      <c r="A175" s="96" t="s">
        <v>807</v>
      </c>
      <c r="B175" s="188" t="s">
        <v>700</v>
      </c>
      <c r="C175" s="931" t="s">
        <v>680</v>
      </c>
      <c r="H175" s="221">
        <f t="shared" si="9"/>
        <v>1</v>
      </c>
      <c r="T175" s="995"/>
      <c r="U175" s="995"/>
      <c r="V175" s="995"/>
      <c r="W175" s="1059"/>
    </row>
    <row r="176" spans="1:31" x14ac:dyDescent="0.25">
      <c r="A176" s="137" t="s">
        <v>184</v>
      </c>
      <c r="B176" s="960" t="s">
        <v>184</v>
      </c>
      <c r="C176" s="845" t="s">
        <v>473</v>
      </c>
      <c r="H176" s="977">
        <f t="shared" si="9"/>
        <v>0</v>
      </c>
      <c r="T176" s="995"/>
      <c r="U176" s="995"/>
      <c r="V176" s="995"/>
      <c r="W176" s="1059"/>
    </row>
    <row r="177" spans="1:23" x14ac:dyDescent="0.25">
      <c r="A177" s="96"/>
      <c r="B177" s="188" t="s">
        <v>696</v>
      </c>
      <c r="C177" s="954" t="s">
        <v>681</v>
      </c>
      <c r="H177" s="221">
        <f t="shared" si="9"/>
        <v>0</v>
      </c>
      <c r="T177" s="995"/>
      <c r="U177" s="995"/>
      <c r="V177" s="995"/>
      <c r="W177" s="1059"/>
    </row>
    <row r="178" spans="1:23" x14ac:dyDescent="0.25">
      <c r="A178" s="96" t="s">
        <v>809</v>
      </c>
      <c r="B178" s="188" t="s">
        <v>699</v>
      </c>
      <c r="C178" s="931" t="s">
        <v>682</v>
      </c>
      <c r="H178" s="221">
        <f t="shared" si="9"/>
        <v>1</v>
      </c>
      <c r="T178" s="995"/>
      <c r="U178" s="995"/>
      <c r="V178" s="995"/>
      <c r="W178" s="1059"/>
    </row>
    <row r="179" spans="1:23" x14ac:dyDescent="0.25">
      <c r="A179" s="96" t="s">
        <v>810</v>
      </c>
      <c r="B179" s="188" t="s">
        <v>700</v>
      </c>
      <c r="C179" s="931" t="s">
        <v>683</v>
      </c>
      <c r="H179" s="221">
        <f t="shared" si="9"/>
        <v>3</v>
      </c>
      <c r="T179" s="995"/>
      <c r="U179" s="995"/>
      <c r="V179" s="995"/>
      <c r="W179" s="1059"/>
    </row>
    <row r="180" spans="1:23" x14ac:dyDescent="0.25">
      <c r="A180" s="137" t="s">
        <v>185</v>
      </c>
      <c r="B180" s="960" t="s">
        <v>185</v>
      </c>
      <c r="C180" s="845" t="s">
        <v>474</v>
      </c>
      <c r="H180" s="977">
        <f t="shared" si="9"/>
        <v>0</v>
      </c>
      <c r="T180" s="995"/>
      <c r="U180" s="995"/>
      <c r="V180" s="995"/>
      <c r="W180" s="1059"/>
    </row>
    <row r="181" spans="1:23" x14ac:dyDescent="0.25">
      <c r="A181" s="96"/>
      <c r="B181" s="188" t="s">
        <v>696</v>
      </c>
      <c r="C181" s="954" t="s">
        <v>684</v>
      </c>
      <c r="H181" s="221">
        <f t="shared" si="9"/>
        <v>0</v>
      </c>
      <c r="T181" s="995"/>
      <c r="U181" s="995"/>
      <c r="V181" s="995"/>
      <c r="W181" s="1059"/>
    </row>
    <row r="182" spans="1:23" x14ac:dyDescent="0.25">
      <c r="A182" s="96" t="s">
        <v>812</v>
      </c>
      <c r="B182" s="188" t="s">
        <v>699</v>
      </c>
      <c r="C182" s="931" t="s">
        <v>685</v>
      </c>
      <c r="H182" s="221">
        <f t="shared" si="9"/>
        <v>1</v>
      </c>
      <c r="T182" s="995"/>
      <c r="U182" s="995"/>
      <c r="V182" s="995"/>
      <c r="W182" s="1059"/>
    </row>
    <row r="183" spans="1:23" x14ac:dyDescent="0.25">
      <c r="A183" s="96" t="s">
        <v>813</v>
      </c>
      <c r="B183" s="188" t="s">
        <v>700</v>
      </c>
      <c r="C183" s="931" t="s">
        <v>686</v>
      </c>
      <c r="H183" s="221">
        <f t="shared" si="9"/>
        <v>1</v>
      </c>
      <c r="T183" s="995"/>
      <c r="U183" s="995"/>
      <c r="V183" s="995"/>
      <c r="W183" s="1059"/>
    </row>
    <row r="184" spans="1:23" x14ac:dyDescent="0.25">
      <c r="A184" s="137" t="s">
        <v>186</v>
      </c>
      <c r="B184" s="960" t="s">
        <v>186</v>
      </c>
      <c r="C184" s="845" t="s">
        <v>693</v>
      </c>
      <c r="H184" s="977">
        <f t="shared" si="9"/>
        <v>0</v>
      </c>
      <c r="T184" s="995"/>
      <c r="U184" s="995"/>
      <c r="V184" s="995"/>
      <c r="W184" s="1059"/>
    </row>
    <row r="185" spans="1:23" x14ac:dyDescent="0.25">
      <c r="A185" s="96" t="s">
        <v>814</v>
      </c>
      <c r="B185" s="188" t="s">
        <v>696</v>
      </c>
      <c r="C185" s="931" t="s">
        <v>687</v>
      </c>
      <c r="H185" s="221">
        <f t="shared" si="9"/>
        <v>1</v>
      </c>
      <c r="T185" s="995"/>
      <c r="U185" s="995"/>
      <c r="V185" s="995"/>
      <c r="W185" s="1059"/>
    </row>
    <row r="186" spans="1:23" x14ac:dyDescent="0.25">
      <c r="A186" s="137" t="s">
        <v>483</v>
      </c>
      <c r="B186" s="960" t="s">
        <v>483</v>
      </c>
      <c r="C186" s="845" t="s">
        <v>694</v>
      </c>
      <c r="H186" s="977">
        <f t="shared" si="9"/>
        <v>0</v>
      </c>
      <c r="T186" s="995"/>
      <c r="U186" s="995"/>
      <c r="V186" s="995"/>
      <c r="W186" s="1059"/>
    </row>
    <row r="187" spans="1:23" x14ac:dyDescent="0.25">
      <c r="A187" s="96"/>
      <c r="B187" s="188" t="s">
        <v>696</v>
      </c>
      <c r="C187" s="954" t="s">
        <v>688</v>
      </c>
      <c r="H187" s="221">
        <f t="shared" si="9"/>
        <v>0</v>
      </c>
      <c r="T187" s="995"/>
      <c r="U187" s="995"/>
      <c r="V187" s="995"/>
      <c r="W187" s="1059"/>
    </row>
    <row r="188" spans="1:23" x14ac:dyDescent="0.25">
      <c r="A188" s="96" t="s">
        <v>816</v>
      </c>
      <c r="B188" s="188" t="s">
        <v>699</v>
      </c>
      <c r="C188" s="931" t="s">
        <v>689</v>
      </c>
      <c r="H188" s="221">
        <f t="shared" si="9"/>
        <v>2</v>
      </c>
      <c r="T188" s="995"/>
      <c r="U188" s="995"/>
      <c r="V188" s="995"/>
      <c r="W188" s="1059"/>
    </row>
    <row r="189" spans="1:23" x14ac:dyDescent="0.25">
      <c r="A189" s="137" t="s">
        <v>484</v>
      </c>
      <c r="B189" s="960" t="s">
        <v>484</v>
      </c>
      <c r="C189" s="845" t="s">
        <v>695</v>
      </c>
      <c r="H189" s="977">
        <f t="shared" si="9"/>
        <v>0</v>
      </c>
      <c r="T189" s="995"/>
      <c r="U189" s="995"/>
      <c r="V189" s="995"/>
      <c r="W189" s="1059"/>
    </row>
    <row r="190" spans="1:23" x14ac:dyDescent="0.25">
      <c r="A190" s="96"/>
      <c r="B190" s="188" t="s">
        <v>696</v>
      </c>
      <c r="C190" s="954" t="s">
        <v>690</v>
      </c>
      <c r="H190" s="221">
        <f t="shared" si="9"/>
        <v>0</v>
      </c>
      <c r="T190" s="995"/>
      <c r="U190" s="995"/>
      <c r="V190" s="995"/>
      <c r="W190" s="1059"/>
    </row>
    <row r="191" spans="1:23" x14ac:dyDescent="0.25">
      <c r="A191" s="96" t="s">
        <v>818</v>
      </c>
      <c r="B191" s="188" t="s">
        <v>699</v>
      </c>
      <c r="C191" s="931" t="s">
        <v>965</v>
      </c>
      <c r="H191" s="221">
        <f t="shared" si="9"/>
        <v>1</v>
      </c>
      <c r="T191" s="995"/>
      <c r="U191" s="995"/>
      <c r="V191" s="995"/>
      <c r="W191" s="1059"/>
    </row>
    <row r="192" spans="1:23" s="1058" customFormat="1" x14ac:dyDescent="0.25">
      <c r="A192" s="96" t="s">
        <v>819</v>
      </c>
      <c r="B192" s="742" t="s">
        <v>700</v>
      </c>
      <c r="C192" s="931" t="s">
        <v>691</v>
      </c>
      <c r="H192" s="221"/>
      <c r="W192" s="1059"/>
    </row>
    <row r="193" spans="1:23" ht="15.75" thickBot="1" x14ac:dyDescent="0.3">
      <c r="A193" s="96" t="s">
        <v>966</v>
      </c>
      <c r="B193" s="194" t="s">
        <v>698</v>
      </c>
      <c r="C193" s="931" t="s">
        <v>692</v>
      </c>
      <c r="H193" s="221">
        <f t="shared" si="9"/>
        <v>0</v>
      </c>
      <c r="T193" s="995"/>
      <c r="U193" s="995"/>
      <c r="V193" s="995"/>
      <c r="W193" s="1059"/>
    </row>
    <row r="194" spans="1:23" ht="15.75" thickBot="1" x14ac:dyDescent="0.3">
      <c r="A194" s="96" t="s">
        <v>893</v>
      </c>
      <c r="B194" s="722"/>
      <c r="C194" s="721" t="s">
        <v>216</v>
      </c>
      <c r="H194" s="226">
        <f t="shared" si="9"/>
        <v>0</v>
      </c>
      <c r="T194" s="995"/>
      <c r="U194" s="995"/>
      <c r="V194" s="995"/>
      <c r="W194" s="1059"/>
    </row>
    <row r="195" spans="1:23" ht="15.75" thickBot="1" x14ac:dyDescent="0.3">
      <c r="A195" s="96"/>
      <c r="B195" s="96"/>
      <c r="C195" s="96"/>
      <c r="H195" s="96">
        <f t="shared" si="9"/>
        <v>0</v>
      </c>
      <c r="T195" s="995"/>
      <c r="U195" s="995"/>
      <c r="V195" s="995"/>
      <c r="W195" s="1059"/>
    </row>
    <row r="196" spans="1:23" ht="15.75" thickBot="1" x14ac:dyDescent="0.3">
      <c r="A196" s="96"/>
      <c r="B196" s="151"/>
      <c r="C196" s="152" t="s">
        <v>73</v>
      </c>
      <c r="H196" s="138">
        <f t="shared" si="9"/>
        <v>0</v>
      </c>
      <c r="T196" s="995"/>
      <c r="U196" s="995"/>
      <c r="V196" s="995"/>
      <c r="W196" s="1059"/>
    </row>
    <row r="197" spans="1:23" x14ac:dyDescent="0.25">
      <c r="A197" s="137" t="s">
        <v>187</v>
      </c>
      <c r="B197" s="872" t="s">
        <v>187</v>
      </c>
      <c r="C197" s="873" t="s">
        <v>166</v>
      </c>
      <c r="H197" s="975">
        <f t="shared" si="9"/>
        <v>0</v>
      </c>
      <c r="T197" s="995"/>
      <c r="U197" s="995"/>
      <c r="V197" s="995"/>
      <c r="W197" s="1059"/>
    </row>
    <row r="198" spans="1:23" x14ac:dyDescent="0.25">
      <c r="A198" s="96" t="s">
        <v>820</v>
      </c>
      <c r="B198" s="166" t="s">
        <v>696</v>
      </c>
      <c r="C198" s="931" t="s">
        <v>903</v>
      </c>
      <c r="H198" s="1053">
        <f t="shared" si="9"/>
        <v>3</v>
      </c>
      <c r="I198" t="s">
        <v>950</v>
      </c>
      <c r="T198" s="995"/>
      <c r="U198" s="995"/>
      <c r="V198" s="995"/>
      <c r="W198" s="1059"/>
    </row>
    <row r="199" spans="1:23" x14ac:dyDescent="0.25">
      <c r="A199" s="96" t="s">
        <v>822</v>
      </c>
      <c r="B199" s="166" t="s">
        <v>700</v>
      </c>
      <c r="C199" s="931" t="s">
        <v>384</v>
      </c>
      <c r="H199" s="1053">
        <f>IF(H198=3,2,0)</f>
        <v>2</v>
      </c>
      <c r="I199" s="1058" t="s">
        <v>950</v>
      </c>
      <c r="T199" s="995"/>
      <c r="U199" s="995"/>
      <c r="V199" s="995"/>
      <c r="W199" s="1059"/>
    </row>
    <row r="200" spans="1:23" x14ac:dyDescent="0.25">
      <c r="A200" s="96" t="s">
        <v>901</v>
      </c>
      <c r="B200" s="166" t="s">
        <v>698</v>
      </c>
      <c r="C200" s="931" t="s">
        <v>904</v>
      </c>
      <c r="H200" s="1053">
        <f>IF(H198=3,1,0)</f>
        <v>1</v>
      </c>
      <c r="I200" s="1058" t="s">
        <v>950</v>
      </c>
      <c r="T200" s="995"/>
      <c r="U200" s="995"/>
      <c r="V200" s="995"/>
      <c r="W200" s="1059"/>
    </row>
    <row r="201" spans="1:23" x14ac:dyDescent="0.25">
      <c r="A201" s="137" t="s">
        <v>188</v>
      </c>
      <c r="B201" s="847" t="s">
        <v>188</v>
      </c>
      <c r="C201" s="845" t="s">
        <v>475</v>
      </c>
      <c r="H201" s="1055">
        <f t="shared" ref="H201:H241" si="10">SUMIF($R$7:$R$182,A201,$U$7:$U$182)</f>
        <v>0</v>
      </c>
      <c r="I201" s="1058" t="s">
        <v>950</v>
      </c>
      <c r="T201" s="995"/>
      <c r="U201" s="995"/>
      <c r="V201" s="995"/>
      <c r="W201" s="1059"/>
    </row>
    <row r="202" spans="1:23" x14ac:dyDescent="0.25">
      <c r="A202" s="96" t="s">
        <v>823</v>
      </c>
      <c r="B202" s="166" t="s">
        <v>696</v>
      </c>
      <c r="C202" s="931" t="s">
        <v>905</v>
      </c>
      <c r="H202" s="1053">
        <f t="shared" si="10"/>
        <v>2</v>
      </c>
      <c r="I202" s="1058" t="s">
        <v>950</v>
      </c>
      <c r="T202" s="995"/>
      <c r="U202" s="995"/>
      <c r="V202" s="995"/>
      <c r="W202" s="1059"/>
    </row>
    <row r="203" spans="1:23" x14ac:dyDescent="0.25">
      <c r="A203" s="96" t="s">
        <v>824</v>
      </c>
      <c r="B203" s="166" t="s">
        <v>699</v>
      </c>
      <c r="C203" s="931" t="s">
        <v>906</v>
      </c>
      <c r="H203" s="1053">
        <f>H202</f>
        <v>2</v>
      </c>
      <c r="I203" s="1058" t="s">
        <v>950</v>
      </c>
      <c r="T203" s="995"/>
      <c r="U203" s="995"/>
      <c r="V203" s="995"/>
      <c r="W203" s="1059"/>
    </row>
    <row r="204" spans="1:23" x14ac:dyDescent="0.25">
      <c r="A204" s="96"/>
      <c r="B204" s="712" t="s">
        <v>189</v>
      </c>
      <c r="C204" s="711"/>
      <c r="H204" s="1056">
        <f t="shared" si="10"/>
        <v>0</v>
      </c>
      <c r="I204" s="1058" t="s">
        <v>950</v>
      </c>
      <c r="T204" s="995"/>
      <c r="U204" s="995"/>
      <c r="V204" s="995"/>
      <c r="W204" s="1059"/>
    </row>
    <row r="205" spans="1:23" x14ac:dyDescent="0.25">
      <c r="A205" s="137" t="s">
        <v>190</v>
      </c>
      <c r="B205" s="847" t="s">
        <v>190</v>
      </c>
      <c r="C205" s="845" t="s">
        <v>167</v>
      </c>
      <c r="H205" s="1055">
        <f t="shared" si="10"/>
        <v>0</v>
      </c>
      <c r="I205" s="1058" t="s">
        <v>950</v>
      </c>
      <c r="T205" s="995"/>
      <c r="U205" s="995"/>
      <c r="V205" s="995"/>
      <c r="W205" s="1059"/>
    </row>
    <row r="206" spans="1:23" x14ac:dyDescent="0.25">
      <c r="A206" s="96" t="s">
        <v>825</v>
      </c>
      <c r="B206" s="166" t="s">
        <v>696</v>
      </c>
      <c r="C206" s="931" t="s">
        <v>908</v>
      </c>
      <c r="H206" s="1053">
        <f t="shared" si="10"/>
        <v>1</v>
      </c>
      <c r="I206" s="1058" t="s">
        <v>950</v>
      </c>
      <c r="T206" s="995"/>
      <c r="U206" s="995"/>
      <c r="V206" s="995"/>
      <c r="W206" s="1059"/>
    </row>
    <row r="207" spans="1:23" x14ac:dyDescent="0.25">
      <c r="A207" s="96" t="s">
        <v>826</v>
      </c>
      <c r="B207" s="166" t="s">
        <v>699</v>
      </c>
      <c r="C207" s="931" t="s">
        <v>909</v>
      </c>
      <c r="H207" s="1053">
        <f>H206</f>
        <v>1</v>
      </c>
      <c r="I207" s="1058" t="s">
        <v>950</v>
      </c>
      <c r="T207" s="995"/>
      <c r="U207" s="995"/>
      <c r="V207" s="995"/>
      <c r="W207" s="1059"/>
    </row>
    <row r="208" spans="1:23" x14ac:dyDescent="0.25">
      <c r="A208" s="137" t="s">
        <v>191</v>
      </c>
      <c r="B208" s="847" t="s">
        <v>191</v>
      </c>
      <c r="C208" s="845" t="s">
        <v>912</v>
      </c>
      <c r="H208" s="1055">
        <f t="shared" si="10"/>
        <v>0</v>
      </c>
      <c r="I208" s="1058" t="s">
        <v>950</v>
      </c>
      <c r="T208" s="995"/>
      <c r="U208" s="995"/>
      <c r="V208" s="995"/>
      <c r="W208" s="1059"/>
    </row>
    <row r="209" spans="1:23" x14ac:dyDescent="0.25">
      <c r="A209" s="96" t="s">
        <v>827</v>
      </c>
      <c r="B209" s="166" t="s">
        <v>696</v>
      </c>
      <c r="C209" s="931" t="s">
        <v>910</v>
      </c>
      <c r="H209" s="1053">
        <f t="shared" si="10"/>
        <v>1</v>
      </c>
      <c r="I209" s="1058" t="s">
        <v>950</v>
      </c>
      <c r="T209" s="995"/>
      <c r="U209" s="995"/>
      <c r="V209" s="995"/>
      <c r="W209" s="1059"/>
    </row>
    <row r="210" spans="1:23" ht="15.75" thickBot="1" x14ac:dyDescent="0.3">
      <c r="A210" s="96" t="s">
        <v>828</v>
      </c>
      <c r="B210" s="229" t="s">
        <v>699</v>
      </c>
      <c r="C210" s="931" t="s">
        <v>911</v>
      </c>
      <c r="H210" s="1053">
        <f>H209</f>
        <v>1</v>
      </c>
      <c r="I210" s="1058" t="s">
        <v>950</v>
      </c>
      <c r="T210" s="995"/>
      <c r="U210" s="995"/>
      <c r="V210" s="995"/>
      <c r="W210" s="1059"/>
    </row>
    <row r="211" spans="1:23" ht="15.75" thickBot="1" x14ac:dyDescent="0.3">
      <c r="A211" s="96" t="s">
        <v>894</v>
      </c>
      <c r="B211" s="722"/>
      <c r="C211" s="721" t="s">
        <v>216</v>
      </c>
      <c r="H211" s="226">
        <f t="shared" si="10"/>
        <v>0</v>
      </c>
      <c r="T211" s="995"/>
      <c r="U211" s="995"/>
      <c r="V211" s="995"/>
      <c r="W211" s="1059"/>
    </row>
    <row r="212" spans="1:23" ht="15.75" thickBot="1" x14ac:dyDescent="0.3">
      <c r="A212" s="96"/>
      <c r="B212" s="96"/>
      <c r="C212" s="96"/>
      <c r="H212" s="96">
        <f t="shared" si="10"/>
        <v>0</v>
      </c>
      <c r="T212" s="995"/>
      <c r="U212" s="995"/>
      <c r="V212" s="995"/>
      <c r="W212" s="1059"/>
    </row>
    <row r="213" spans="1:23" ht="15.75" thickBot="1" x14ac:dyDescent="0.3">
      <c r="A213" s="96"/>
      <c r="B213" s="151"/>
      <c r="C213" s="152" t="s">
        <v>228</v>
      </c>
      <c r="H213" s="138">
        <f t="shared" si="10"/>
        <v>0</v>
      </c>
      <c r="T213" s="995"/>
      <c r="U213" s="995"/>
      <c r="V213" s="995"/>
      <c r="W213" s="1059"/>
    </row>
    <row r="214" spans="1:23" x14ac:dyDescent="0.25">
      <c r="A214" s="130" t="s">
        <v>192</v>
      </c>
      <c r="B214" s="313" t="s">
        <v>192</v>
      </c>
      <c r="C214" s="177" t="s">
        <v>930</v>
      </c>
      <c r="H214" s="212">
        <f t="shared" si="10"/>
        <v>1</v>
      </c>
      <c r="T214" s="995"/>
      <c r="U214" s="995"/>
      <c r="V214" s="995"/>
      <c r="W214" s="1059"/>
    </row>
    <row r="215" spans="1:23" x14ac:dyDescent="0.25">
      <c r="A215" s="130" t="s">
        <v>193</v>
      </c>
      <c r="B215" s="166" t="s">
        <v>193</v>
      </c>
      <c r="C215" s="167" t="s">
        <v>931</v>
      </c>
      <c r="H215" s="221">
        <f t="shared" si="10"/>
        <v>1</v>
      </c>
      <c r="T215" s="995"/>
      <c r="U215" s="995"/>
      <c r="V215" s="995"/>
      <c r="W215" s="1059"/>
    </row>
    <row r="216" spans="1:23" x14ac:dyDescent="0.25">
      <c r="A216" s="130" t="s">
        <v>194</v>
      </c>
      <c r="B216" s="166" t="s">
        <v>194</v>
      </c>
      <c r="C216" s="167" t="s">
        <v>932</v>
      </c>
      <c r="H216" s="221">
        <f t="shared" si="10"/>
        <v>1</v>
      </c>
      <c r="T216" s="995"/>
      <c r="U216" s="995"/>
      <c r="V216" s="995"/>
      <c r="W216" s="1059"/>
    </row>
    <row r="217" spans="1:23" x14ac:dyDescent="0.25">
      <c r="A217" s="130" t="s">
        <v>195</v>
      </c>
      <c r="B217" s="166" t="s">
        <v>195</v>
      </c>
      <c r="C217" s="167" t="s">
        <v>933</v>
      </c>
      <c r="H217" s="221">
        <f t="shared" si="10"/>
        <v>1</v>
      </c>
      <c r="T217" s="995"/>
      <c r="U217" s="995"/>
      <c r="V217" s="995"/>
      <c r="W217" s="1059"/>
    </row>
    <row r="218" spans="1:23" x14ac:dyDescent="0.25">
      <c r="A218" s="130" t="s">
        <v>196</v>
      </c>
      <c r="B218" s="166" t="s">
        <v>196</v>
      </c>
      <c r="C218" s="167" t="s">
        <v>934</v>
      </c>
      <c r="H218" s="221">
        <f t="shared" si="10"/>
        <v>1</v>
      </c>
      <c r="T218" s="995"/>
      <c r="U218" s="995"/>
      <c r="V218" s="995"/>
      <c r="W218" s="1059"/>
    </row>
    <row r="219" spans="1:23" x14ac:dyDescent="0.25">
      <c r="A219" s="130" t="s">
        <v>197</v>
      </c>
      <c r="B219" s="166" t="s">
        <v>197</v>
      </c>
      <c r="C219" s="167" t="s">
        <v>935</v>
      </c>
      <c r="H219" s="221">
        <f t="shared" si="10"/>
        <v>1</v>
      </c>
      <c r="T219" s="995"/>
      <c r="U219" s="995"/>
      <c r="V219" s="995"/>
      <c r="W219" s="995"/>
    </row>
    <row r="220" spans="1:23" x14ac:dyDescent="0.25">
      <c r="A220" s="130" t="s">
        <v>198</v>
      </c>
      <c r="B220" s="166" t="s">
        <v>198</v>
      </c>
      <c r="C220" s="167" t="s">
        <v>936</v>
      </c>
      <c r="H220" s="221">
        <f t="shared" si="10"/>
        <v>1</v>
      </c>
      <c r="T220" s="995"/>
      <c r="U220" s="995"/>
      <c r="V220" s="995"/>
      <c r="W220" s="995"/>
    </row>
    <row r="221" spans="1:23" x14ac:dyDescent="0.25">
      <c r="A221" s="130" t="s">
        <v>226</v>
      </c>
      <c r="B221" s="166" t="s">
        <v>226</v>
      </c>
      <c r="C221" s="167" t="s">
        <v>937</v>
      </c>
      <c r="H221" s="221">
        <f t="shared" si="10"/>
        <v>1</v>
      </c>
      <c r="T221" s="995"/>
      <c r="U221" s="995"/>
      <c r="V221" s="995"/>
      <c r="W221" s="995"/>
    </row>
    <row r="222" spans="1:23" x14ac:dyDescent="0.25">
      <c r="A222" s="130" t="s">
        <v>256</v>
      </c>
      <c r="B222" s="166" t="s">
        <v>256</v>
      </c>
      <c r="C222" s="167" t="s">
        <v>938</v>
      </c>
      <c r="H222" s="221">
        <f t="shared" si="10"/>
        <v>1</v>
      </c>
      <c r="T222" s="995"/>
      <c r="U222" s="995"/>
      <c r="V222" s="995"/>
      <c r="W222" s="995"/>
    </row>
    <row r="223" spans="1:23" x14ac:dyDescent="0.25">
      <c r="A223" s="130" t="s">
        <v>476</v>
      </c>
      <c r="B223" s="222" t="s">
        <v>476</v>
      </c>
      <c r="C223" s="189" t="s">
        <v>939</v>
      </c>
      <c r="H223" s="221">
        <f t="shared" si="10"/>
        <v>1</v>
      </c>
      <c r="T223" s="995"/>
      <c r="U223" s="995"/>
      <c r="V223" s="995"/>
      <c r="W223" s="995"/>
    </row>
    <row r="224" spans="1:23" x14ac:dyDescent="0.25">
      <c r="A224" s="130" t="s">
        <v>477</v>
      </c>
      <c r="B224" s="222" t="s">
        <v>477</v>
      </c>
      <c r="C224" s="189" t="s">
        <v>940</v>
      </c>
      <c r="H224" s="221">
        <f t="shared" si="10"/>
        <v>1</v>
      </c>
      <c r="T224" s="995"/>
      <c r="U224" s="995"/>
      <c r="V224" s="995"/>
      <c r="W224" s="995"/>
    </row>
    <row r="225" spans="1:23" x14ac:dyDescent="0.25">
      <c r="A225" s="130" t="s">
        <v>478</v>
      </c>
      <c r="B225" s="222" t="s">
        <v>478</v>
      </c>
      <c r="C225" s="189" t="s">
        <v>941</v>
      </c>
      <c r="H225" s="221">
        <f t="shared" si="10"/>
        <v>1</v>
      </c>
      <c r="T225" s="995"/>
      <c r="U225" s="995"/>
      <c r="V225" s="995"/>
      <c r="W225" s="995"/>
    </row>
    <row r="226" spans="1:23" x14ac:dyDescent="0.25">
      <c r="A226" s="130" t="s">
        <v>479</v>
      </c>
      <c r="B226" s="222" t="s">
        <v>479</v>
      </c>
      <c r="C226" s="189" t="s">
        <v>942</v>
      </c>
      <c r="H226" s="221">
        <f t="shared" si="10"/>
        <v>1</v>
      </c>
      <c r="T226" s="995"/>
      <c r="U226" s="995"/>
      <c r="V226" s="995"/>
      <c r="W226" s="995"/>
    </row>
    <row r="227" spans="1:23" ht="15.75" thickBot="1" x14ac:dyDescent="0.3">
      <c r="A227" s="130" t="s">
        <v>701</v>
      </c>
      <c r="B227" s="730" t="s">
        <v>701</v>
      </c>
      <c r="C227" s="196" t="s">
        <v>943</v>
      </c>
      <c r="H227" s="867">
        <f t="shared" si="10"/>
        <v>1</v>
      </c>
      <c r="T227" s="995"/>
      <c r="U227" s="995"/>
      <c r="V227" s="995"/>
      <c r="W227" s="995"/>
    </row>
    <row r="228" spans="1:23" ht="15.75" thickBot="1" x14ac:dyDescent="0.3">
      <c r="A228" s="130" t="s">
        <v>895</v>
      </c>
      <c r="B228" s="722" t="s">
        <v>216</v>
      </c>
      <c r="C228" s="721"/>
      <c r="H228" s="226">
        <f t="shared" si="10"/>
        <v>0</v>
      </c>
      <c r="T228" s="995"/>
      <c r="U228" s="995"/>
      <c r="V228" s="995"/>
      <c r="W228" s="995"/>
    </row>
    <row r="229" spans="1:23" ht="15.75" thickBot="1" x14ac:dyDescent="0.3">
      <c r="A229" s="96"/>
      <c r="B229" s="96"/>
      <c r="C229" s="96"/>
      <c r="H229" s="96">
        <f t="shared" si="10"/>
        <v>0</v>
      </c>
      <c r="T229" s="995"/>
      <c r="U229" s="995"/>
      <c r="V229" s="995"/>
      <c r="W229" s="995"/>
    </row>
    <row r="230" spans="1:23" ht="15.75" thickBot="1" x14ac:dyDescent="0.3">
      <c r="A230" s="96"/>
      <c r="B230" s="151"/>
      <c r="C230" s="152" t="s">
        <v>235</v>
      </c>
      <c r="H230" s="138">
        <f t="shared" si="10"/>
        <v>0</v>
      </c>
      <c r="T230" s="995"/>
      <c r="U230" s="995"/>
      <c r="V230" s="995"/>
      <c r="W230" s="995"/>
    </row>
    <row r="231" spans="1:23" x14ac:dyDescent="0.25">
      <c r="A231" s="96" t="s">
        <v>737</v>
      </c>
      <c r="B231" s="743" t="s">
        <v>737</v>
      </c>
      <c r="C231" s="987" t="s">
        <v>611</v>
      </c>
      <c r="H231" s="212">
        <f t="shared" si="10"/>
        <v>0</v>
      </c>
      <c r="T231" s="995"/>
      <c r="U231" s="995"/>
      <c r="V231" s="995"/>
      <c r="W231" s="995"/>
    </row>
    <row r="232" spans="1:23" x14ac:dyDescent="0.25">
      <c r="A232" s="96" t="s">
        <v>744</v>
      </c>
      <c r="B232" s="222" t="s">
        <v>744</v>
      </c>
      <c r="C232" s="991" t="s">
        <v>618</v>
      </c>
      <c r="H232" s="221">
        <f t="shared" si="10"/>
        <v>0</v>
      </c>
      <c r="T232" s="995"/>
      <c r="U232" s="995"/>
      <c r="V232" s="995"/>
      <c r="W232" s="995"/>
    </row>
    <row r="233" spans="1:23" x14ac:dyDescent="0.25">
      <c r="A233" s="96" t="s">
        <v>774</v>
      </c>
      <c r="B233" s="739" t="s">
        <v>774</v>
      </c>
      <c r="C233" s="985" t="s">
        <v>649</v>
      </c>
      <c r="H233" s="221">
        <f t="shared" si="10"/>
        <v>0</v>
      </c>
      <c r="T233" s="995"/>
      <c r="U233" s="995"/>
      <c r="V233" s="995"/>
      <c r="W233" s="995"/>
    </row>
    <row r="234" spans="1:23" x14ac:dyDescent="0.25">
      <c r="A234" s="96" t="s">
        <v>777</v>
      </c>
      <c r="B234" s="739" t="s">
        <v>777</v>
      </c>
      <c r="C234" s="986" t="s">
        <v>652</v>
      </c>
      <c r="H234" s="221">
        <f t="shared" si="10"/>
        <v>0</v>
      </c>
      <c r="T234" s="995"/>
      <c r="U234" s="995"/>
      <c r="V234" s="995"/>
      <c r="W234" s="995"/>
    </row>
    <row r="235" spans="1:23" x14ac:dyDescent="0.25">
      <c r="A235" s="96" t="s">
        <v>780</v>
      </c>
      <c r="B235" s="739" t="s">
        <v>780</v>
      </c>
      <c r="C235" s="986" t="s">
        <v>655</v>
      </c>
      <c r="H235" s="221">
        <f t="shared" si="10"/>
        <v>0</v>
      </c>
      <c r="T235" s="995"/>
      <c r="U235" s="995"/>
      <c r="V235" s="995"/>
      <c r="W235" s="995"/>
    </row>
    <row r="236" spans="1:23" x14ac:dyDescent="0.25">
      <c r="A236" s="96" t="s">
        <v>783</v>
      </c>
      <c r="B236" s="739" t="s">
        <v>783</v>
      </c>
      <c r="C236" s="986" t="s">
        <v>658</v>
      </c>
      <c r="H236" s="221">
        <f t="shared" si="10"/>
        <v>0</v>
      </c>
      <c r="T236" s="995"/>
      <c r="U236" s="995"/>
      <c r="V236" s="995"/>
      <c r="W236" s="995"/>
    </row>
    <row r="237" spans="1:23" x14ac:dyDescent="0.25">
      <c r="A237" s="96" t="s">
        <v>802</v>
      </c>
      <c r="B237" s="739" t="s">
        <v>802</v>
      </c>
      <c r="C237" s="986" t="s">
        <v>675</v>
      </c>
      <c r="H237" s="221">
        <f t="shared" si="10"/>
        <v>0</v>
      </c>
      <c r="T237" s="995"/>
      <c r="U237" s="995"/>
      <c r="V237" s="995"/>
      <c r="W237" s="995"/>
    </row>
    <row r="238" spans="1:23" x14ac:dyDescent="0.25">
      <c r="A238" s="96" t="s">
        <v>805</v>
      </c>
      <c r="B238" s="739" t="s">
        <v>805</v>
      </c>
      <c r="C238" s="986" t="s">
        <v>678</v>
      </c>
      <c r="H238" s="221">
        <f t="shared" si="10"/>
        <v>0</v>
      </c>
      <c r="T238" s="995"/>
      <c r="U238" s="995"/>
      <c r="V238" s="995"/>
      <c r="W238" s="995"/>
    </row>
    <row r="239" spans="1:23" x14ac:dyDescent="0.25">
      <c r="A239" s="96" t="s">
        <v>808</v>
      </c>
      <c r="B239" s="739" t="s">
        <v>808</v>
      </c>
      <c r="C239" s="986" t="s">
        <v>681</v>
      </c>
      <c r="H239" s="221">
        <f t="shared" si="10"/>
        <v>0</v>
      </c>
      <c r="T239" s="995"/>
      <c r="U239" s="995"/>
      <c r="V239" s="995"/>
      <c r="W239" s="995"/>
    </row>
    <row r="240" spans="1:23" x14ac:dyDescent="0.25">
      <c r="A240" s="96" t="s">
        <v>811</v>
      </c>
      <c r="B240" s="739" t="s">
        <v>811</v>
      </c>
      <c r="C240" s="986" t="s">
        <v>684</v>
      </c>
      <c r="H240" s="221">
        <f t="shared" si="10"/>
        <v>0</v>
      </c>
      <c r="T240" s="995"/>
      <c r="U240" s="995"/>
      <c r="V240" s="995"/>
      <c r="W240" s="995"/>
    </row>
    <row r="241" spans="1:23" x14ac:dyDescent="0.25">
      <c r="A241" s="96" t="s">
        <v>766</v>
      </c>
      <c r="B241" s="739" t="s">
        <v>766</v>
      </c>
      <c r="C241" s="986" t="s">
        <v>642</v>
      </c>
      <c r="H241" s="221">
        <f t="shared" si="10"/>
        <v>0</v>
      </c>
      <c r="T241" s="995"/>
      <c r="U241" s="995"/>
      <c r="V241" s="995"/>
      <c r="W241" s="995"/>
    </row>
    <row r="242" spans="1:23" x14ac:dyDescent="0.25">
      <c r="A242" s="96" t="s">
        <v>815</v>
      </c>
      <c r="B242" s="742" t="s">
        <v>815</v>
      </c>
      <c r="C242" s="986" t="s">
        <v>688</v>
      </c>
      <c r="H242" s="221"/>
      <c r="T242" s="995"/>
      <c r="U242" s="995"/>
      <c r="V242" s="995"/>
      <c r="W242" s="995"/>
    </row>
    <row r="243" spans="1:23" x14ac:dyDescent="0.25">
      <c r="A243" s="96" t="s">
        <v>817</v>
      </c>
      <c r="B243" s="742" t="s">
        <v>817</v>
      </c>
      <c r="C243" s="986" t="s">
        <v>690</v>
      </c>
      <c r="H243" s="221"/>
      <c r="T243" s="995"/>
      <c r="U243" s="995"/>
      <c r="V243" s="995"/>
      <c r="W243" s="995"/>
    </row>
    <row r="244" spans="1:23" x14ac:dyDescent="0.25">
      <c r="A244" s="96" t="s">
        <v>900</v>
      </c>
      <c r="B244" s="742" t="s">
        <v>900</v>
      </c>
      <c r="C244" s="1028" t="s">
        <v>902</v>
      </c>
      <c r="H244" s="221"/>
      <c r="T244" s="995"/>
      <c r="U244" s="995"/>
      <c r="V244" s="995"/>
      <c r="W244" s="995"/>
    </row>
    <row r="245" spans="1:23" x14ac:dyDescent="0.25">
      <c r="A245" s="96"/>
      <c r="B245" s="742"/>
      <c r="C245" s="986"/>
      <c r="H245" s="221"/>
      <c r="T245" s="995"/>
      <c r="U245" s="995"/>
      <c r="V245" s="995"/>
      <c r="W245" s="995"/>
    </row>
    <row r="246" spans="1:23" ht="15.75" thickBot="1" x14ac:dyDescent="0.3">
      <c r="A246" s="96"/>
      <c r="B246" s="194"/>
      <c r="C246" s="196"/>
      <c r="H246" s="221"/>
      <c r="T246" s="995"/>
      <c r="U246" s="995"/>
      <c r="V246" s="995"/>
      <c r="W246" s="995"/>
    </row>
    <row r="247" spans="1:23" x14ac:dyDescent="0.25">
      <c r="A247" s="96"/>
      <c r="B247" s="96"/>
      <c r="C247" s="96"/>
      <c r="H247" s="96"/>
      <c r="T247" s="995"/>
      <c r="U247" s="995"/>
      <c r="V247" s="995"/>
      <c r="W247" s="995"/>
    </row>
    <row r="248" spans="1:23" x14ac:dyDescent="0.25">
      <c r="H248" s="96"/>
      <c r="T248" s="995"/>
      <c r="U248" s="995"/>
      <c r="V248" s="995"/>
      <c r="W248" s="995"/>
    </row>
    <row r="249" spans="1:23" x14ac:dyDescent="0.25">
      <c r="H249" s="96"/>
      <c r="T249" s="995"/>
      <c r="U249" s="995"/>
      <c r="V249" s="995"/>
      <c r="W249" s="995"/>
    </row>
    <row r="250" spans="1:23" x14ac:dyDescent="0.25">
      <c r="H250" s="96"/>
      <c r="T250" s="995"/>
      <c r="U250" s="995"/>
      <c r="V250" s="995"/>
      <c r="W250" s="995"/>
    </row>
    <row r="251" spans="1:23" x14ac:dyDescent="0.25">
      <c r="H251" s="96"/>
      <c r="T251" s="995"/>
      <c r="U251" s="995"/>
      <c r="V251" s="995"/>
      <c r="W251" s="995"/>
    </row>
    <row r="252" spans="1:23" x14ac:dyDescent="0.25">
      <c r="H252" s="96"/>
      <c r="T252" s="995"/>
      <c r="U252" s="995"/>
      <c r="V252" s="995"/>
      <c r="W252" s="995"/>
    </row>
    <row r="253" spans="1:23" x14ac:dyDescent="0.25">
      <c r="H253" s="96"/>
      <c r="T253" s="995"/>
      <c r="U253" s="995"/>
      <c r="V253" s="995"/>
      <c r="W253" s="995"/>
    </row>
    <row r="254" spans="1:23" x14ac:dyDescent="0.25">
      <c r="H254" s="96"/>
      <c r="T254" s="995"/>
      <c r="U254" s="995"/>
      <c r="V254" s="995"/>
      <c r="W254" s="995"/>
    </row>
    <row r="255" spans="1:23" x14ac:dyDescent="0.25">
      <c r="H255" s="96"/>
      <c r="T255" s="995"/>
      <c r="U255" s="995"/>
      <c r="V255" s="995"/>
      <c r="W255" s="995"/>
    </row>
    <row r="256" spans="1:23" x14ac:dyDescent="0.25">
      <c r="H256" s="96"/>
      <c r="T256" s="995"/>
      <c r="U256" s="995"/>
      <c r="V256" s="995"/>
      <c r="W256" s="995"/>
    </row>
    <row r="257" spans="8:23" x14ac:dyDescent="0.25">
      <c r="H257" s="96"/>
      <c r="T257" s="995"/>
      <c r="U257" s="995"/>
      <c r="V257" s="995"/>
      <c r="W257" s="995"/>
    </row>
    <row r="258" spans="8:23" x14ac:dyDescent="0.25">
      <c r="H258" s="96"/>
      <c r="T258" s="995"/>
      <c r="U258" s="995"/>
      <c r="V258" s="995"/>
      <c r="W258" s="995"/>
    </row>
    <row r="259" spans="8:23" x14ac:dyDescent="0.25">
      <c r="H259" s="96"/>
      <c r="T259" s="995"/>
      <c r="U259" s="995"/>
      <c r="V259" s="995"/>
      <c r="W259" s="995"/>
    </row>
    <row r="260" spans="8:23" x14ac:dyDescent="0.25">
      <c r="H260" s="96"/>
      <c r="T260" s="995"/>
      <c r="U260" s="995"/>
      <c r="V260" s="995"/>
      <c r="W260" s="995"/>
    </row>
    <row r="261" spans="8:23" x14ac:dyDescent="0.25">
      <c r="H261" s="96"/>
      <c r="T261" s="995"/>
      <c r="U261" s="995"/>
      <c r="V261" s="995"/>
      <c r="W261" s="995"/>
    </row>
    <row r="262" spans="8:23" x14ac:dyDescent="0.25">
      <c r="H262" s="96"/>
      <c r="T262" s="995"/>
      <c r="U262" s="995"/>
      <c r="V262" s="995"/>
      <c r="W262" s="995"/>
    </row>
    <row r="263" spans="8:23" x14ac:dyDescent="0.25">
      <c r="H263" s="96"/>
      <c r="T263" s="995"/>
      <c r="U263" s="995"/>
      <c r="V263" s="995"/>
      <c r="W263" s="995"/>
    </row>
    <row r="264" spans="8:23" x14ac:dyDescent="0.25">
      <c r="H264" s="96"/>
      <c r="T264" s="995"/>
      <c r="U264" s="995"/>
      <c r="V264" s="995"/>
      <c r="W264" s="995"/>
    </row>
    <row r="265" spans="8:23" x14ac:dyDescent="0.25">
      <c r="H265" s="96"/>
      <c r="T265" s="995"/>
      <c r="U265" s="995"/>
      <c r="V265" s="995"/>
      <c r="W265" s="995"/>
    </row>
    <row r="266" spans="8:23" x14ac:dyDescent="0.25">
      <c r="H266" s="96"/>
      <c r="T266" s="995"/>
      <c r="U266" s="995"/>
      <c r="V266" s="995"/>
      <c r="W266" s="995"/>
    </row>
    <row r="267" spans="8:23" x14ac:dyDescent="0.25">
      <c r="H267" s="96"/>
      <c r="T267" s="995"/>
      <c r="U267" s="995"/>
      <c r="V267" s="995"/>
      <c r="W267" s="995"/>
    </row>
    <row r="268" spans="8:23" x14ac:dyDescent="0.25">
      <c r="H268" s="96"/>
      <c r="T268" s="995"/>
      <c r="U268" s="995"/>
      <c r="V268" s="995"/>
      <c r="W268" s="995"/>
    </row>
    <row r="269" spans="8:23" x14ac:dyDescent="0.25">
      <c r="H269" s="96"/>
      <c r="T269" s="995"/>
      <c r="U269" s="995"/>
      <c r="V269" s="995"/>
      <c r="W269" s="995"/>
    </row>
    <row r="270" spans="8:23" x14ac:dyDescent="0.25">
      <c r="H270" s="96"/>
      <c r="T270" s="995"/>
      <c r="U270" s="995"/>
      <c r="V270" s="995"/>
      <c r="W270" s="995"/>
    </row>
    <row r="271" spans="8:23" x14ac:dyDescent="0.25">
      <c r="H271" s="96"/>
      <c r="T271" s="995"/>
      <c r="U271" s="995"/>
      <c r="V271" s="995"/>
      <c r="W271" s="995"/>
    </row>
    <row r="272" spans="8:23" x14ac:dyDescent="0.25">
      <c r="H272" s="96"/>
    </row>
    <row r="273" spans="8:8" x14ac:dyDescent="0.25">
      <c r="H273" s="96"/>
    </row>
    <row r="274" spans="8:8" x14ac:dyDescent="0.25">
      <c r="H274" s="96"/>
    </row>
    <row r="275" spans="8:8" x14ac:dyDescent="0.25">
      <c r="H275" s="96"/>
    </row>
    <row r="276" spans="8:8" x14ac:dyDescent="0.25">
      <c r="H276" s="96"/>
    </row>
    <row r="277" spans="8:8" x14ac:dyDescent="0.25">
      <c r="H277" s="96"/>
    </row>
    <row r="278" spans="8:8" x14ac:dyDescent="0.25">
      <c r="H278" s="96"/>
    </row>
    <row r="279" spans="8:8" x14ac:dyDescent="0.25">
      <c r="H279" s="96"/>
    </row>
    <row r="280" spans="8:8" x14ac:dyDescent="0.25">
      <c r="H280" s="96"/>
    </row>
    <row r="281" spans="8:8" x14ac:dyDescent="0.25">
      <c r="H281" s="96"/>
    </row>
    <row r="282" spans="8:8" x14ac:dyDescent="0.25">
      <c r="H282" s="96"/>
    </row>
    <row r="283" spans="8:8" x14ac:dyDescent="0.25">
      <c r="H283" s="96"/>
    </row>
    <row r="284" spans="8:8" x14ac:dyDescent="0.25">
      <c r="H284" s="96"/>
    </row>
    <row r="285" spans="8:8" x14ac:dyDescent="0.25">
      <c r="H285" s="96"/>
    </row>
    <row r="286" spans="8:8" x14ac:dyDescent="0.25">
      <c r="H286" s="96"/>
    </row>
    <row r="287" spans="8:8" x14ac:dyDescent="0.25">
      <c r="H287" s="96"/>
    </row>
    <row r="288" spans="8:8" x14ac:dyDescent="0.25">
      <c r="H288" s="96"/>
    </row>
    <row r="289" spans="8:8" x14ac:dyDescent="0.25">
      <c r="H289" s="96"/>
    </row>
    <row r="290" spans="8:8" x14ac:dyDescent="0.25">
      <c r="H290" s="96"/>
    </row>
    <row r="291" spans="8:8" x14ac:dyDescent="0.25">
      <c r="H291" s="96"/>
    </row>
    <row r="292" spans="8:8" x14ac:dyDescent="0.25">
      <c r="H292" s="96"/>
    </row>
    <row r="293" spans="8:8" x14ac:dyDescent="0.25">
      <c r="H293" s="96"/>
    </row>
    <row r="294" spans="8:8" x14ac:dyDescent="0.25">
      <c r="H294" s="96"/>
    </row>
    <row r="295" spans="8:8" x14ac:dyDescent="0.25">
      <c r="H295" s="96"/>
    </row>
    <row r="296" spans="8:8" x14ac:dyDescent="0.25">
      <c r="H296" s="96"/>
    </row>
    <row r="297" spans="8:8" x14ac:dyDescent="0.25">
      <c r="H297" s="96"/>
    </row>
    <row r="298" spans="8:8" x14ac:dyDescent="0.25">
      <c r="H298" s="96"/>
    </row>
    <row r="299" spans="8:8" x14ac:dyDescent="0.25">
      <c r="H299" s="96"/>
    </row>
    <row r="300" spans="8:8" x14ac:dyDescent="0.25">
      <c r="H300" s="96"/>
    </row>
    <row r="301" spans="8:8" x14ac:dyDescent="0.25">
      <c r="H301" s="96"/>
    </row>
    <row r="302" spans="8:8" x14ac:dyDescent="0.25">
      <c r="H302" s="96"/>
    </row>
  </sheetData>
  <sheetProtection algorithmName="SHA-512" hashValue="k0cAYB2ii81rB9ER5SnUa1KDFHduJPdr6yg8Lx0xcPWD2Mc6x/J5zRk/GpqDNNWRNZgY1GSKGGbmLvPHUYNNYg==" saltValue="GpXbIUvCnYxCF8YP6tCP0Q==" spinCount="100000" sheet="1" objects="1" scenarios="1"/>
  <protectedRanges>
    <protectedRange sqref="I2" name="Sortering"/>
  </protectedRanges>
  <mergeCells count="16">
    <mergeCell ref="S6:S11"/>
    <mergeCell ref="S73:S75"/>
    <mergeCell ref="S61:S63"/>
    <mergeCell ref="S64:S66"/>
    <mergeCell ref="N5:O5"/>
    <mergeCell ref="S39:S42"/>
    <mergeCell ref="S44:S46"/>
    <mergeCell ref="S50:S55"/>
    <mergeCell ref="S56:S59"/>
    <mergeCell ref="S67:S69"/>
    <mergeCell ref="S35:S38"/>
    <mergeCell ref="S29:S34"/>
    <mergeCell ref="S12:S14"/>
    <mergeCell ref="S15:S19"/>
    <mergeCell ref="S20:S23"/>
    <mergeCell ref="S24:S27"/>
  </mergeCells>
  <phoneticPr fontId="52" type="noConversion"/>
  <conditionalFormatting sqref="I2">
    <cfRule type="expression" dxfId="922" priority="5">
      <formula>$Z2=2</formula>
    </cfRule>
  </conditionalFormatting>
  <conditionalFormatting sqref="I2">
    <cfRule type="expression" dxfId="921" priority="165">
      <formula>I2&gt;#REF!</formula>
    </cfRule>
  </conditionalFormatting>
  <conditionalFormatting sqref="I78:I80 I82:I107 I7:I36 I38:I76">
    <cfRule type="expression" dxfId="920" priority="3">
      <formula>I7="FEIL"</formula>
    </cfRule>
  </conditionalFormatting>
  <conditionalFormatting sqref="I77">
    <cfRule type="expression" dxfId="919" priority="2">
      <formula>I77="FEIL"</formula>
    </cfRule>
  </conditionalFormatting>
  <conditionalFormatting sqref="I81">
    <cfRule type="expression" dxfId="918" priority="1">
      <formula>I81="FEIL"</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'Assessment Details'!$O$51:$O$52</xm:f>
          </x14:formula1>
          <xm:sqref>I2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N310"/>
  <sheetViews>
    <sheetView zoomScale="110" zoomScaleNormal="110" workbookViewId="0">
      <selection activeCell="F9" sqref="F9:G9"/>
    </sheetView>
  </sheetViews>
  <sheetFormatPr defaultColWidth="9.140625" defaultRowHeight="15" x14ac:dyDescent="0.25"/>
  <cols>
    <col min="1" max="1" width="3" style="420" customWidth="1"/>
    <col min="2" max="2" width="23.28515625" style="420" customWidth="1"/>
    <col min="3" max="3" width="11" style="420" customWidth="1"/>
    <col min="4" max="4" width="9.7109375" style="420" customWidth="1"/>
    <col min="5" max="5" width="11.28515625" style="420" customWidth="1"/>
    <col min="6" max="6" width="10.28515625" style="420" customWidth="1"/>
    <col min="7" max="7" width="10.5703125" style="420" customWidth="1"/>
    <col min="8" max="8" width="11" style="420" customWidth="1"/>
    <col min="9" max="9" width="11.140625" style="420" customWidth="1"/>
    <col min="10" max="10" width="11.5703125" style="420" customWidth="1"/>
    <col min="11" max="11" width="16.5703125" style="420" customWidth="1"/>
    <col min="12" max="12" width="13.28515625" style="420" customWidth="1"/>
    <col min="13" max="13" width="13" style="420" customWidth="1"/>
    <col min="14" max="14" width="19.7109375" style="420" customWidth="1"/>
    <col min="15" max="15" width="13.140625" style="420" customWidth="1"/>
    <col min="16" max="16" width="14" style="420" customWidth="1"/>
    <col min="17" max="17" width="16.5703125" style="420" customWidth="1"/>
    <col min="18" max="42" width="9.140625" style="420" customWidth="1"/>
    <col min="43" max="16384" width="9.140625" style="420"/>
  </cols>
  <sheetData>
    <row r="1" spans="1:40" x14ac:dyDescent="0.25">
      <c r="A1" s="419"/>
      <c r="B1" s="419"/>
      <c r="C1" s="419"/>
      <c r="D1" s="419"/>
      <c r="E1" s="419"/>
      <c r="F1" s="419"/>
      <c r="G1" s="419"/>
      <c r="H1" s="419"/>
      <c r="I1" s="419"/>
      <c r="J1" s="419"/>
      <c r="K1" s="419"/>
      <c r="L1" s="419"/>
      <c r="M1" s="419"/>
      <c r="N1" s="419"/>
      <c r="O1" s="419"/>
      <c r="P1" s="419"/>
      <c r="Q1" s="419"/>
      <c r="R1" s="419"/>
      <c r="S1" s="419"/>
    </row>
    <row r="2" spans="1:40" ht="42" customHeight="1" x14ac:dyDescent="0.25">
      <c r="A2" s="419"/>
      <c r="B2" s="737" t="s">
        <v>974</v>
      </c>
      <c r="C2" s="421"/>
      <c r="D2" s="421"/>
      <c r="E2" s="421"/>
      <c r="F2" s="421"/>
      <c r="G2" s="421"/>
      <c r="H2" s="422"/>
      <c r="I2" s="422"/>
      <c r="J2" s="422"/>
      <c r="K2" s="422"/>
      <c r="L2" s="423"/>
      <c r="M2" s="422"/>
      <c r="N2" s="640" t="str">
        <f>IF('Manuell filtrering og justering'!I2='Manuell filtrering og justering'!J2,"Bespoke","")</f>
        <v/>
      </c>
      <c r="O2" s="640" t="str">
        <f>IF('Manuell filtrering og justering'!J2='Manuell filtrering og justering'!K2,"Bespoke","")</f>
        <v/>
      </c>
      <c r="P2" s="419"/>
      <c r="Q2" s="419"/>
      <c r="R2" s="419"/>
      <c r="S2" s="419"/>
    </row>
    <row r="3" spans="1:40" ht="15" customHeight="1" x14ac:dyDescent="0.25">
      <c r="A3" s="419"/>
      <c r="B3" s="424"/>
      <c r="C3" s="419"/>
      <c r="D3" s="419"/>
      <c r="E3" s="419"/>
      <c r="F3" s="419"/>
      <c r="G3" s="419"/>
      <c r="H3" s="419"/>
      <c r="I3" s="419"/>
      <c r="J3" s="419"/>
      <c r="K3" s="419"/>
      <c r="L3" s="419"/>
      <c r="M3" s="419"/>
      <c r="N3" s="425"/>
      <c r="O3" s="419"/>
      <c r="P3" s="419"/>
      <c r="Q3" s="419"/>
      <c r="R3" s="419"/>
      <c r="S3" s="419"/>
    </row>
    <row r="4" spans="1:40" ht="18.75" x14ac:dyDescent="0.3">
      <c r="A4" s="419"/>
      <c r="B4" s="426" t="s">
        <v>62</v>
      </c>
      <c r="C4" s="427"/>
      <c r="D4" s="428"/>
      <c r="E4" s="428"/>
      <c r="F4" s="428"/>
      <c r="G4" s="428"/>
      <c r="H4" s="428"/>
      <c r="I4" s="428"/>
      <c r="J4" s="428"/>
      <c r="K4" s="428"/>
      <c r="L4" s="428"/>
      <c r="M4" s="428"/>
      <c r="N4" s="428"/>
      <c r="O4" s="428"/>
      <c r="P4" s="419"/>
      <c r="Q4" s="419"/>
      <c r="R4" s="419"/>
      <c r="S4" s="419"/>
    </row>
    <row r="5" spans="1:40" x14ac:dyDescent="0.25">
      <c r="A5" s="419"/>
      <c r="B5" s="419"/>
      <c r="C5" s="419"/>
      <c r="D5" s="419"/>
      <c r="E5" s="419"/>
      <c r="F5" s="419"/>
      <c r="G5" s="419"/>
      <c r="H5" s="419"/>
      <c r="I5" s="419"/>
      <c r="J5" s="419"/>
      <c r="K5" s="419"/>
      <c r="L5" s="419"/>
      <c r="M5" s="419"/>
      <c r="N5" s="419"/>
      <c r="O5" s="419"/>
      <c r="P5" s="419"/>
      <c r="Q5" s="419"/>
      <c r="R5" s="419"/>
      <c r="S5" s="419"/>
    </row>
    <row r="6" spans="1:40" ht="15.75" x14ac:dyDescent="0.25">
      <c r="A6" s="419"/>
      <c r="B6" s="429"/>
      <c r="C6" s="430" t="s">
        <v>22</v>
      </c>
      <c r="D6" s="431" t="str">
        <f>IF(ADBN="","",ADBN)</f>
        <v/>
      </c>
      <c r="E6" s="432"/>
      <c r="F6" s="432"/>
      <c r="G6" s="432"/>
      <c r="H6" s="432"/>
      <c r="I6" s="433"/>
      <c r="J6" s="434"/>
      <c r="K6" s="435"/>
      <c r="L6" s="436"/>
      <c r="M6" s="435" t="str">
        <f>"Pre-Assessment Estimator Version: "&amp;TVC_current_version&amp;". Date: "</f>
        <v xml:space="preserve">Pre-Assessment Estimator Version: 1.2. Date: </v>
      </c>
      <c r="N6" s="437">
        <f>TVC_current_date</f>
        <v>44673</v>
      </c>
      <c r="O6" s="419"/>
      <c r="P6" s="419"/>
      <c r="Q6" s="419"/>
      <c r="R6" s="419"/>
      <c r="S6" s="419"/>
    </row>
    <row r="7" spans="1:40" x14ac:dyDescent="0.25">
      <c r="A7" s="419"/>
      <c r="B7" s="434"/>
      <c r="C7" s="434"/>
      <c r="D7" s="434"/>
      <c r="E7" s="434"/>
      <c r="F7" s="434"/>
      <c r="G7" s="434"/>
      <c r="H7" s="434"/>
      <c r="I7" s="434"/>
      <c r="J7" s="434"/>
      <c r="K7" s="434"/>
      <c r="L7" s="419"/>
      <c r="M7" s="419"/>
      <c r="N7" s="419"/>
      <c r="O7" s="419"/>
      <c r="P7" s="419"/>
      <c r="Q7" s="419"/>
      <c r="R7" s="419"/>
      <c r="S7" s="419"/>
    </row>
    <row r="8" spans="1:40" ht="15.75" x14ac:dyDescent="0.25">
      <c r="A8" s="419"/>
      <c r="B8" s="438"/>
      <c r="C8" s="439"/>
      <c r="D8" s="1346" t="s">
        <v>218</v>
      </c>
      <c r="E8" s="1347"/>
      <c r="F8" s="1338" t="s">
        <v>286</v>
      </c>
      <c r="G8" s="1339"/>
      <c r="H8" s="1338" t="s">
        <v>287</v>
      </c>
      <c r="I8" s="1339"/>
      <c r="J8" s="434"/>
      <c r="K8" s="434"/>
      <c r="L8" s="419"/>
      <c r="M8" s="419"/>
      <c r="N8" s="419"/>
      <c r="O8" s="419"/>
      <c r="P8" s="419"/>
      <c r="Q8" s="419"/>
      <c r="R8" s="419"/>
      <c r="S8" s="419"/>
    </row>
    <row r="9" spans="1:40" ht="15.75" x14ac:dyDescent="0.25">
      <c r="A9" s="440"/>
      <c r="B9" s="441"/>
      <c r="C9" s="442" t="s">
        <v>303</v>
      </c>
      <c r="D9" s="1336" t="s">
        <v>13</v>
      </c>
      <c r="E9" s="1336"/>
      <c r="F9" s="1336" t="s">
        <v>14</v>
      </c>
      <c r="G9" s="1336"/>
      <c r="H9" s="1336" t="s">
        <v>14</v>
      </c>
      <c r="I9" s="1336"/>
      <c r="J9" s="440"/>
      <c r="K9" s="440"/>
      <c r="L9" s="434"/>
      <c r="M9" s="434"/>
      <c r="N9" s="434"/>
      <c r="O9" s="434"/>
      <c r="Z9" s="443"/>
      <c r="AA9" s="443"/>
      <c r="AB9" s="443"/>
      <c r="AC9" s="443"/>
      <c r="AD9" s="443"/>
      <c r="AE9" s="443"/>
      <c r="AF9" s="443"/>
      <c r="AG9" s="443"/>
      <c r="AH9" s="443"/>
      <c r="AI9" s="443"/>
      <c r="AJ9" s="443"/>
      <c r="AK9" s="443"/>
      <c r="AL9" s="443"/>
      <c r="AM9" s="443"/>
      <c r="AN9" s="443"/>
    </row>
    <row r="10" spans="1:40" ht="15.75" x14ac:dyDescent="0.25">
      <c r="A10" s="419"/>
      <c r="B10" s="444"/>
      <c r="C10" s="445" t="s">
        <v>315</v>
      </c>
      <c r="D10" s="1348" t="str">
        <f>BP_BREEAMRating</f>
        <v>Unclassified</v>
      </c>
      <c r="E10" s="1349"/>
      <c r="F10" s="1340" t="str">
        <f>Poeng!BG262</f>
        <v>Unclassified</v>
      </c>
      <c r="G10" s="1341"/>
      <c r="H10" s="1340" t="str">
        <f>Poeng!BJ262</f>
        <v>Unclassified</v>
      </c>
      <c r="I10" s="1341"/>
      <c r="J10" s="434"/>
      <c r="K10" s="434" t="str">
        <f>IF(OR(Poeng!BE262=1,Poeng!BH262=1,Poeng!BK262=1),Poeng!AW267,"")</f>
        <v/>
      </c>
      <c r="L10" s="434"/>
      <c r="M10" s="434"/>
      <c r="N10" s="434"/>
      <c r="O10" s="434"/>
      <c r="Z10" s="1335"/>
      <c r="AA10" s="1335"/>
      <c r="AB10" s="1335"/>
      <c r="AC10" s="1335"/>
      <c r="AD10" s="1335"/>
      <c r="AE10" s="1335"/>
      <c r="AF10" s="1335"/>
      <c r="AG10" s="1335"/>
      <c r="AH10" s="1335"/>
      <c r="AI10" s="1335"/>
      <c r="AJ10" s="1335"/>
      <c r="AK10" s="1335"/>
      <c r="AL10" s="1335"/>
      <c r="AM10" s="1335"/>
      <c r="AN10" s="1335"/>
    </row>
    <row r="11" spans="1:40" ht="18" customHeight="1" x14ac:dyDescent="0.25">
      <c r="A11" s="419"/>
      <c r="B11" s="446"/>
      <c r="C11" s="447" t="s">
        <v>87</v>
      </c>
      <c r="D11" s="1350">
        <f>Score_Initial</f>
        <v>0</v>
      </c>
      <c r="E11" s="1351"/>
      <c r="F11" s="1342">
        <f>Poeng!BF260</f>
        <v>0</v>
      </c>
      <c r="G11" s="1343"/>
      <c r="H11" s="1342">
        <f>Poeng!BI260</f>
        <v>0</v>
      </c>
      <c r="I11" s="1343"/>
      <c r="J11" s="434"/>
      <c r="K11" s="434"/>
      <c r="L11" s="434"/>
      <c r="M11" s="434"/>
      <c r="N11" s="434"/>
      <c r="O11" s="434"/>
      <c r="Z11" s="1335"/>
      <c r="AA11" s="1335"/>
      <c r="AB11" s="1335"/>
      <c r="AC11" s="1335"/>
      <c r="AD11" s="1335"/>
      <c r="AE11" s="1335"/>
      <c r="AF11" s="1335"/>
      <c r="AG11" s="1335"/>
      <c r="AH11" s="1335"/>
      <c r="AI11" s="1335"/>
      <c r="AJ11" s="1335"/>
      <c r="AK11" s="1335"/>
      <c r="AL11" s="1335"/>
      <c r="AM11" s="1335"/>
      <c r="AN11" s="1335"/>
    </row>
    <row r="12" spans="1:40" ht="18" customHeight="1" x14ac:dyDescent="0.25">
      <c r="A12" s="419"/>
      <c r="B12" s="1157"/>
      <c r="C12" s="1158" t="s">
        <v>82</v>
      </c>
      <c r="D12" s="1350" t="str">
        <f>BP_MinStandards</f>
        <v>Unclassified</v>
      </c>
      <c r="E12" s="1351"/>
      <c r="F12" s="1342" t="str">
        <f>Poeng!BG257</f>
        <v>Unclassified</v>
      </c>
      <c r="G12" s="1343"/>
      <c r="H12" s="1342" t="str">
        <f>Poeng!BJ257</f>
        <v>Unclassified</v>
      </c>
      <c r="I12" s="1343"/>
      <c r="J12" s="434"/>
      <c r="K12" s="434"/>
      <c r="L12" s="434"/>
      <c r="M12" s="434"/>
      <c r="N12" s="434"/>
      <c r="O12" s="434"/>
      <c r="Z12" s="1335"/>
      <c r="AA12" s="1335"/>
      <c r="AB12" s="1335"/>
      <c r="AC12" s="1335"/>
      <c r="AD12" s="1335"/>
      <c r="AE12" s="1335"/>
      <c r="AF12" s="1335"/>
      <c r="AG12" s="1335"/>
      <c r="AH12" s="1335"/>
      <c r="AI12" s="1335"/>
      <c r="AJ12" s="1335"/>
      <c r="AK12" s="1335"/>
      <c r="AL12" s="1335"/>
      <c r="AM12" s="1335"/>
      <c r="AN12" s="1335"/>
    </row>
    <row r="13" spans="1:40" ht="15.75" x14ac:dyDescent="0.25">
      <c r="A13" s="419"/>
      <c r="B13" s="448"/>
      <c r="C13" s="1169" t="str">
        <f>'Pre-Assessment Estimator'!G7</f>
        <v xml:space="preserve">Requirements for EU taxonomy </v>
      </c>
      <c r="D13" s="1352" t="str">
        <f>Poeng!BQ256</f>
        <v>No</v>
      </c>
      <c r="E13" s="1353"/>
      <c r="F13" s="1344" t="str">
        <f>Poeng!BR256</f>
        <v>No</v>
      </c>
      <c r="G13" s="1345"/>
      <c r="H13" s="1344" t="str">
        <f>Poeng!BS256</f>
        <v>No</v>
      </c>
      <c r="I13" s="1345"/>
      <c r="J13" s="440"/>
      <c r="K13" s="434"/>
      <c r="L13" s="434"/>
      <c r="M13" s="434"/>
      <c r="N13" s="434"/>
      <c r="O13" s="434"/>
      <c r="Z13" s="1335"/>
      <c r="AA13" s="1335"/>
      <c r="AB13" s="1335"/>
      <c r="AC13" s="1335"/>
      <c r="AD13" s="1335"/>
      <c r="AE13" s="1335"/>
      <c r="AF13" s="1335"/>
      <c r="AG13" s="1335"/>
      <c r="AH13" s="1335"/>
      <c r="AI13" s="1335"/>
      <c r="AJ13" s="1335"/>
      <c r="AK13" s="1335"/>
      <c r="AL13" s="1335"/>
      <c r="AM13" s="1335"/>
      <c r="AN13" s="1335"/>
    </row>
    <row r="14" spans="1:40" ht="42" customHeight="1" x14ac:dyDescent="0.3">
      <c r="A14" s="419"/>
      <c r="B14" s="426" t="s">
        <v>63</v>
      </c>
      <c r="C14" s="427"/>
      <c r="D14" s="428"/>
      <c r="E14" s="428"/>
      <c r="F14" s="428"/>
      <c r="G14" s="428"/>
      <c r="H14" s="428"/>
      <c r="I14" s="426" t="s">
        <v>82</v>
      </c>
      <c r="J14" s="428"/>
      <c r="K14" s="428"/>
      <c r="L14" s="735"/>
      <c r="M14" s="428"/>
      <c r="N14" s="428"/>
      <c r="O14" s="503"/>
      <c r="P14" s="419"/>
      <c r="Q14" s="419"/>
      <c r="R14" s="419"/>
      <c r="S14" s="419"/>
    </row>
    <row r="15" spans="1:40" ht="15" customHeight="1" x14ac:dyDescent="0.25">
      <c r="A15" s="419"/>
      <c r="B15" s="449"/>
      <c r="C15" s="449"/>
      <c r="D15" s="449"/>
      <c r="E15" s="449"/>
      <c r="F15" s="449"/>
      <c r="G15" s="449"/>
      <c r="H15" s="449"/>
      <c r="I15" s="449"/>
      <c r="J15" s="449"/>
      <c r="K15" s="434"/>
      <c r="L15" s="419"/>
      <c r="M15" s="419"/>
      <c r="N15" s="419"/>
      <c r="O15" s="419"/>
      <c r="P15" s="419"/>
      <c r="Q15" s="419"/>
      <c r="R15" s="419"/>
      <c r="S15" s="419"/>
    </row>
    <row r="16" spans="1:40" ht="15" customHeight="1" x14ac:dyDescent="0.25">
      <c r="A16" s="419"/>
      <c r="B16" s="450"/>
      <c r="C16" s="450"/>
      <c r="D16" s="450"/>
      <c r="E16" s="450"/>
      <c r="F16" s="450"/>
      <c r="G16" s="450"/>
      <c r="H16" s="450"/>
      <c r="I16" s="450"/>
      <c r="J16" s="450"/>
      <c r="K16" s="434"/>
      <c r="L16" s="419"/>
      <c r="M16" s="419"/>
      <c r="N16" s="419"/>
      <c r="O16" s="419"/>
      <c r="P16" s="419"/>
      <c r="Q16" s="419"/>
      <c r="R16" s="419"/>
      <c r="S16" s="419"/>
    </row>
    <row r="17" spans="1:32" ht="15" customHeight="1" x14ac:dyDescent="0.25">
      <c r="A17" s="419"/>
      <c r="B17" s="450"/>
      <c r="C17" s="450"/>
      <c r="D17" s="450"/>
      <c r="E17" s="450"/>
      <c r="F17" s="450"/>
      <c r="G17" s="450"/>
      <c r="H17" s="450"/>
      <c r="I17" s="450"/>
      <c r="J17" s="450"/>
      <c r="K17" s="434"/>
      <c r="L17" s="419"/>
      <c r="M17" s="419"/>
      <c r="N17" s="419"/>
      <c r="O17" s="419"/>
      <c r="P17" s="419"/>
      <c r="Q17" s="419"/>
      <c r="R17" s="419"/>
      <c r="S17" s="419"/>
    </row>
    <row r="18" spans="1:32" ht="15" customHeight="1" x14ac:dyDescent="0.25">
      <c r="A18" s="419"/>
      <c r="B18" s="450"/>
      <c r="C18" s="450"/>
      <c r="D18" s="450"/>
      <c r="E18" s="450"/>
      <c r="F18" s="450"/>
      <c r="G18" s="450"/>
      <c r="H18" s="450"/>
      <c r="I18" s="450"/>
      <c r="J18" s="450"/>
      <c r="K18" s="434"/>
      <c r="L18" s="419"/>
      <c r="M18" s="419"/>
      <c r="N18" s="419"/>
      <c r="O18" s="419"/>
      <c r="Q18" s="419"/>
      <c r="R18" s="419"/>
      <c r="S18" s="419"/>
    </row>
    <row r="19" spans="1:32" ht="15" customHeight="1" x14ac:dyDescent="0.25">
      <c r="A19" s="419"/>
      <c r="B19" s="450"/>
      <c r="C19" s="450"/>
      <c r="D19" s="450"/>
      <c r="E19" s="450"/>
      <c r="F19" s="450"/>
      <c r="G19" s="450"/>
      <c r="H19" s="450"/>
      <c r="I19" s="450"/>
      <c r="J19" s="450"/>
      <c r="K19" s="434"/>
      <c r="L19" s="419"/>
      <c r="M19" s="419"/>
      <c r="N19" s="419"/>
      <c r="O19" s="419"/>
      <c r="Q19" s="419"/>
      <c r="R19" s="419"/>
      <c r="S19" s="419"/>
    </row>
    <row r="20" spans="1:32" ht="15" customHeight="1" x14ac:dyDescent="0.25">
      <c r="A20" s="419"/>
      <c r="B20" s="450"/>
      <c r="C20" s="450"/>
      <c r="D20" s="450"/>
      <c r="E20" s="450"/>
      <c r="F20" s="450"/>
      <c r="G20" s="450"/>
      <c r="H20" s="450"/>
      <c r="I20" s="450"/>
      <c r="J20" s="450"/>
      <c r="K20" s="434"/>
      <c r="L20" s="419"/>
      <c r="M20" s="419"/>
      <c r="N20" s="419"/>
      <c r="O20" s="419"/>
      <c r="Q20" s="419"/>
      <c r="R20" s="419"/>
      <c r="S20" s="419"/>
    </row>
    <row r="21" spans="1:32" ht="15" customHeight="1" thickBot="1" x14ac:dyDescent="0.3">
      <c r="A21" s="419"/>
      <c r="B21" s="450"/>
      <c r="C21" s="450"/>
      <c r="D21" s="450"/>
      <c r="E21" s="450"/>
      <c r="F21" s="450"/>
      <c r="G21" s="450"/>
      <c r="H21" s="450"/>
      <c r="I21" s="450"/>
      <c r="J21" s="450"/>
      <c r="K21" s="434"/>
      <c r="L21" s="419"/>
      <c r="M21" s="419"/>
      <c r="N21" s="419"/>
      <c r="O21" s="419"/>
      <c r="Q21" s="419"/>
      <c r="R21" s="419"/>
      <c r="S21" s="419"/>
    </row>
    <row r="22" spans="1:32" ht="15" customHeight="1" x14ac:dyDescent="0.25">
      <c r="A22" s="419"/>
      <c r="B22" s="450"/>
      <c r="C22" s="450"/>
      <c r="D22" s="450"/>
      <c r="E22" s="450"/>
      <c r="F22" s="450"/>
      <c r="G22" s="450"/>
      <c r="H22" s="450"/>
      <c r="I22" s="450"/>
      <c r="J22" s="450"/>
      <c r="K22" s="434"/>
      <c r="L22" s="419"/>
      <c r="M22" s="419"/>
      <c r="N22" s="419"/>
      <c r="O22" s="419"/>
      <c r="Q22" s="419"/>
      <c r="R22" s="419"/>
      <c r="S22" s="419"/>
      <c r="AB22" s="451"/>
      <c r="AC22" s="452" t="s">
        <v>215</v>
      </c>
      <c r="AD22" s="452" t="str">
        <f>D34</f>
        <v>Initial target setting</v>
      </c>
      <c r="AE22" s="452" t="str">
        <f>F34</f>
        <v>Design phase</v>
      </c>
      <c r="AF22" s="453" t="str">
        <f>H34</f>
        <v>Construction phase</v>
      </c>
    </row>
    <row r="23" spans="1:32" ht="15" customHeight="1" x14ac:dyDescent="0.25">
      <c r="A23" s="419"/>
      <c r="B23" s="450"/>
      <c r="C23" s="450"/>
      <c r="D23" s="450"/>
      <c r="E23" s="450"/>
      <c r="F23" s="450"/>
      <c r="G23" s="450"/>
      <c r="H23" s="450"/>
      <c r="I23" s="450"/>
      <c r="J23" s="450"/>
      <c r="K23" s="434"/>
      <c r="L23" s="419"/>
      <c r="M23" s="419"/>
      <c r="N23" s="419"/>
      <c r="O23" s="419"/>
      <c r="Q23" s="419"/>
      <c r="R23" s="419"/>
      <c r="S23" s="419"/>
      <c r="AB23" s="454" t="s">
        <v>206</v>
      </c>
      <c r="AC23" s="455">
        <f>Man_Weight</f>
        <v>0.13</v>
      </c>
      <c r="AD23" s="455">
        <f t="shared" ref="AD23:AD32" si="0">IF(D$9=$AA$36,K36,"")</f>
        <v>0</v>
      </c>
      <c r="AE23" s="455" t="str">
        <f t="shared" ref="AE23:AE32" si="1">IF(F$9=$AA$36,L36,"")</f>
        <v/>
      </c>
      <c r="AF23" s="456" t="str">
        <f t="shared" ref="AF23:AF32" si="2">IF(H$9=$AA$36,M36,"")</f>
        <v/>
      </c>
    </row>
    <row r="24" spans="1:32" ht="15" customHeight="1" x14ac:dyDescent="0.25">
      <c r="A24" s="419"/>
      <c r="B24" s="450"/>
      <c r="C24" s="450"/>
      <c r="D24" s="450"/>
      <c r="E24" s="450"/>
      <c r="F24" s="450"/>
      <c r="G24" s="450"/>
      <c r="H24" s="450"/>
      <c r="I24" s="450"/>
      <c r="J24" s="450"/>
      <c r="K24" s="434"/>
      <c r="L24" s="419"/>
      <c r="M24" s="419"/>
      <c r="N24" s="419"/>
      <c r="O24" s="419"/>
      <c r="P24" s="419"/>
      <c r="Q24" s="419"/>
      <c r="R24" s="419"/>
      <c r="S24" s="419"/>
      <c r="AB24" s="454" t="s">
        <v>128</v>
      </c>
      <c r="AC24" s="455">
        <f>J37</f>
        <v>0.16</v>
      </c>
      <c r="AD24" s="455">
        <f t="shared" si="0"/>
        <v>0</v>
      </c>
      <c r="AE24" s="455" t="str">
        <f t="shared" si="1"/>
        <v/>
      </c>
      <c r="AF24" s="456" t="str">
        <f t="shared" si="2"/>
        <v/>
      </c>
    </row>
    <row r="25" spans="1:32" ht="15" customHeight="1" x14ac:dyDescent="0.25">
      <c r="A25" s="419"/>
      <c r="B25" s="450"/>
      <c r="C25" s="450"/>
      <c r="D25" s="450"/>
      <c r="E25" s="450"/>
      <c r="F25" s="450"/>
      <c r="G25" s="450"/>
      <c r="H25" s="450"/>
      <c r="I25" s="450"/>
      <c r="J25" s="450"/>
      <c r="K25" s="434"/>
      <c r="L25" s="419"/>
      <c r="M25" s="419"/>
      <c r="N25" s="419"/>
      <c r="O25" s="419"/>
      <c r="P25" s="419"/>
      <c r="Q25" s="419"/>
      <c r="R25" s="419"/>
      <c r="S25" s="419"/>
      <c r="AB25" s="454" t="s">
        <v>207</v>
      </c>
      <c r="AC25" s="455">
        <f>Ene_Weight</f>
        <v>0.14000000000000001</v>
      </c>
      <c r="AD25" s="455">
        <f t="shared" si="0"/>
        <v>0</v>
      </c>
      <c r="AE25" s="455" t="str">
        <f t="shared" si="1"/>
        <v/>
      </c>
      <c r="AF25" s="456" t="str">
        <f t="shared" si="2"/>
        <v/>
      </c>
    </row>
    <row r="26" spans="1:32" ht="15" customHeight="1" x14ac:dyDescent="0.25">
      <c r="A26" s="419"/>
      <c r="B26" s="450"/>
      <c r="C26" s="450"/>
      <c r="D26" s="450"/>
      <c r="E26" s="450"/>
      <c r="F26" s="450"/>
      <c r="G26" s="450"/>
      <c r="H26" s="450"/>
      <c r="I26" s="450"/>
      <c r="J26" s="450"/>
      <c r="K26" s="434"/>
      <c r="L26" s="419"/>
      <c r="M26" s="419"/>
      <c r="N26" s="419"/>
      <c r="O26" s="419"/>
      <c r="P26" s="419"/>
      <c r="Q26" s="419"/>
      <c r="R26" s="419"/>
      <c r="S26" s="419"/>
      <c r="AB26" s="454" t="s">
        <v>208</v>
      </c>
      <c r="AC26" s="455">
        <f>Tra_Weight</f>
        <v>0.1</v>
      </c>
      <c r="AD26" s="455">
        <f t="shared" si="0"/>
        <v>0</v>
      </c>
      <c r="AE26" s="455" t="str">
        <f t="shared" si="1"/>
        <v/>
      </c>
      <c r="AF26" s="456" t="str">
        <f t="shared" si="2"/>
        <v/>
      </c>
    </row>
    <row r="27" spans="1:32" ht="15" customHeight="1" x14ac:dyDescent="0.25">
      <c r="A27" s="419"/>
      <c r="B27" s="450"/>
      <c r="C27" s="450"/>
      <c r="D27" s="450"/>
      <c r="E27" s="450"/>
      <c r="F27" s="450"/>
      <c r="G27" s="450"/>
      <c r="H27" s="450"/>
      <c r="I27" s="450"/>
      <c r="J27" s="450"/>
      <c r="K27" s="434"/>
      <c r="L27" s="419"/>
      <c r="M27" s="419"/>
      <c r="N27" s="419"/>
      <c r="O27" s="419"/>
      <c r="P27" s="419"/>
      <c r="Q27" s="419"/>
      <c r="R27" s="419"/>
      <c r="S27" s="419"/>
      <c r="AB27" s="454" t="s">
        <v>209</v>
      </c>
      <c r="AC27" s="455">
        <f>Wat_Weight</f>
        <v>0.04</v>
      </c>
      <c r="AD27" s="455">
        <f t="shared" si="0"/>
        <v>0</v>
      </c>
      <c r="AE27" s="455" t="str">
        <f t="shared" si="1"/>
        <v/>
      </c>
      <c r="AF27" s="456" t="str">
        <f t="shared" si="2"/>
        <v/>
      </c>
    </row>
    <row r="28" spans="1:32" ht="15" customHeight="1" x14ac:dyDescent="0.25">
      <c r="A28" s="419"/>
      <c r="B28" s="450"/>
      <c r="C28" s="450"/>
      <c r="D28" s="450"/>
      <c r="E28" s="450"/>
      <c r="F28" s="450"/>
      <c r="G28" s="450"/>
      <c r="H28" s="450"/>
      <c r="I28" s="450"/>
      <c r="J28" s="450"/>
      <c r="K28" s="434"/>
      <c r="L28" s="419"/>
      <c r="M28" s="419"/>
      <c r="N28" s="419"/>
      <c r="O28" s="419"/>
      <c r="P28" s="419"/>
      <c r="Q28" s="419"/>
      <c r="R28" s="419"/>
      <c r="S28" s="419"/>
      <c r="AB28" s="454" t="s">
        <v>210</v>
      </c>
      <c r="AC28" s="455">
        <f>Mat_Weight</f>
        <v>0.17</v>
      </c>
      <c r="AD28" s="455">
        <f t="shared" si="0"/>
        <v>0</v>
      </c>
      <c r="AE28" s="455" t="str">
        <f t="shared" si="1"/>
        <v/>
      </c>
      <c r="AF28" s="456" t="str">
        <f t="shared" si="2"/>
        <v/>
      </c>
    </row>
    <row r="29" spans="1:32" ht="15" customHeight="1" x14ac:dyDescent="0.25">
      <c r="A29" s="419"/>
      <c r="B29" s="450"/>
      <c r="C29" s="450"/>
      <c r="D29" s="450"/>
      <c r="E29" s="450"/>
      <c r="F29" s="450"/>
      <c r="G29" s="450"/>
      <c r="H29" s="450"/>
      <c r="I29" s="450"/>
      <c r="J29" s="450"/>
      <c r="K29" s="434"/>
      <c r="L29" s="419"/>
      <c r="M29" s="419"/>
      <c r="N29" s="419"/>
      <c r="O29" s="419"/>
      <c r="P29" s="419"/>
      <c r="Q29" s="419"/>
      <c r="R29" s="419"/>
      <c r="S29" s="419"/>
      <c r="AB29" s="454" t="s">
        <v>211</v>
      </c>
      <c r="AC29" s="455">
        <f>Wst_Weight</f>
        <v>7.0000000000000007E-2</v>
      </c>
      <c r="AD29" s="455">
        <f t="shared" si="0"/>
        <v>0</v>
      </c>
      <c r="AE29" s="455" t="str">
        <f t="shared" si="1"/>
        <v/>
      </c>
      <c r="AF29" s="456" t="str">
        <f t="shared" si="2"/>
        <v/>
      </c>
    </row>
    <row r="30" spans="1:32" ht="15" customHeight="1" x14ac:dyDescent="0.25">
      <c r="A30" s="419"/>
      <c r="B30" s="450"/>
      <c r="C30" s="450"/>
      <c r="D30" s="450"/>
      <c r="E30" s="450"/>
      <c r="F30" s="450"/>
      <c r="G30" s="450"/>
      <c r="H30" s="450"/>
      <c r="I30" s="450"/>
      <c r="J30" s="450"/>
      <c r="K30" s="434"/>
      <c r="L30" s="419"/>
      <c r="M30" s="419"/>
      <c r="N30" s="419"/>
      <c r="O30" s="419"/>
      <c r="P30" s="419"/>
      <c r="Q30" s="419"/>
      <c r="R30" s="419"/>
      <c r="S30" s="419"/>
      <c r="AB30" s="454" t="s">
        <v>212</v>
      </c>
      <c r="AC30" s="455">
        <f>LE_Weight</f>
        <v>0.15</v>
      </c>
      <c r="AD30" s="455">
        <f t="shared" si="0"/>
        <v>0</v>
      </c>
      <c r="AE30" s="455" t="str">
        <f t="shared" si="1"/>
        <v/>
      </c>
      <c r="AF30" s="456" t="str">
        <f t="shared" si="2"/>
        <v/>
      </c>
    </row>
    <row r="31" spans="1:32" ht="15" customHeight="1" x14ac:dyDescent="0.25">
      <c r="A31" s="419"/>
      <c r="B31" s="450"/>
      <c r="C31" s="450"/>
      <c r="D31" s="450"/>
      <c r="E31" s="450"/>
      <c r="F31" s="450"/>
      <c r="G31" s="450"/>
      <c r="H31" s="450"/>
      <c r="I31" s="450"/>
      <c r="J31" s="450"/>
      <c r="K31" s="434"/>
      <c r="L31" s="419"/>
      <c r="M31" s="419"/>
      <c r="N31" s="419"/>
      <c r="O31" s="419"/>
      <c r="P31" s="419"/>
      <c r="Q31" s="419"/>
      <c r="R31" s="419"/>
      <c r="S31" s="419"/>
      <c r="AB31" s="454" t="s">
        <v>213</v>
      </c>
      <c r="AC31" s="455">
        <f>J44</f>
        <v>0.04</v>
      </c>
      <c r="AD31" s="455">
        <f t="shared" si="0"/>
        <v>0</v>
      </c>
      <c r="AE31" s="455" t="str">
        <f t="shared" si="1"/>
        <v/>
      </c>
      <c r="AF31" s="456" t="str">
        <f t="shared" si="2"/>
        <v/>
      </c>
    </row>
    <row r="32" spans="1:32" ht="15" customHeight="1" thickBot="1" x14ac:dyDescent="0.3">
      <c r="A32" s="419"/>
      <c r="B32" s="450"/>
      <c r="C32" s="450"/>
      <c r="D32" s="450"/>
      <c r="E32" s="450"/>
      <c r="F32" s="450"/>
      <c r="G32" s="450"/>
      <c r="H32" s="450"/>
      <c r="I32" s="450"/>
      <c r="J32" s="450"/>
      <c r="K32" s="434"/>
      <c r="L32" s="419"/>
      <c r="M32" s="419"/>
      <c r="N32" s="419"/>
      <c r="O32" s="419"/>
      <c r="P32" s="419"/>
      <c r="Q32" s="419"/>
      <c r="R32" s="419"/>
      <c r="S32" s="419"/>
      <c r="AB32" s="457" t="s">
        <v>214</v>
      </c>
      <c r="AC32" s="458">
        <f>J45</f>
        <v>0.1</v>
      </c>
      <c r="AD32" s="458">
        <f t="shared" si="0"/>
        <v>0</v>
      </c>
      <c r="AE32" s="458" t="str">
        <f t="shared" si="1"/>
        <v/>
      </c>
      <c r="AF32" s="459" t="str">
        <f t="shared" si="2"/>
        <v/>
      </c>
    </row>
    <row r="33" spans="1:32" ht="15" customHeight="1" x14ac:dyDescent="0.25">
      <c r="A33" s="419"/>
      <c r="B33" s="450"/>
      <c r="C33" s="450"/>
      <c r="D33" s="450"/>
      <c r="E33" s="450"/>
      <c r="F33" s="450"/>
      <c r="G33" s="450"/>
      <c r="H33" s="450"/>
      <c r="I33" s="450"/>
      <c r="J33" s="450"/>
      <c r="K33" s="434"/>
      <c r="L33" s="419"/>
      <c r="M33" s="419"/>
      <c r="N33" s="419"/>
      <c r="O33" s="419"/>
      <c r="P33" s="419"/>
      <c r="Q33" s="419"/>
      <c r="R33" s="419"/>
      <c r="S33" s="419"/>
    </row>
    <row r="34" spans="1:32" ht="15.75" x14ac:dyDescent="0.25">
      <c r="A34" s="419"/>
      <c r="B34" s="460"/>
      <c r="C34" s="434"/>
      <c r="D34" s="1333" t="s">
        <v>218</v>
      </c>
      <c r="E34" s="1334"/>
      <c r="F34" s="1333" t="s">
        <v>286</v>
      </c>
      <c r="G34" s="1334"/>
      <c r="H34" s="1333" t="s">
        <v>287</v>
      </c>
      <c r="I34" s="1334"/>
      <c r="J34" s="461" t="s">
        <v>205</v>
      </c>
      <c r="K34" s="1333" t="s">
        <v>288</v>
      </c>
      <c r="L34" s="1337"/>
      <c r="M34" s="1334"/>
      <c r="N34" s="434"/>
      <c r="O34" s="434"/>
    </row>
    <row r="35" spans="1:32" ht="32.25" thickBot="1" x14ac:dyDescent="0.3">
      <c r="A35" s="419"/>
      <c r="B35" s="462" t="s">
        <v>76</v>
      </c>
      <c r="C35" s="463" t="s">
        <v>66</v>
      </c>
      <c r="D35" s="464" t="s">
        <v>204</v>
      </c>
      <c r="E35" s="465" t="s">
        <v>65</v>
      </c>
      <c r="F35" s="463" t="s">
        <v>204</v>
      </c>
      <c r="G35" s="463" t="s">
        <v>65</v>
      </c>
      <c r="H35" s="464" t="s">
        <v>204</v>
      </c>
      <c r="I35" s="465" t="s">
        <v>65</v>
      </c>
      <c r="J35" s="466"/>
      <c r="K35" s="464" t="s">
        <v>218</v>
      </c>
      <c r="L35" s="467" t="s">
        <v>286</v>
      </c>
      <c r="M35" s="465" t="s">
        <v>287</v>
      </c>
      <c r="N35" s="434"/>
      <c r="O35" s="434"/>
    </row>
    <row r="36" spans="1:32" ht="15.75" customHeight="1" x14ac:dyDescent="0.25">
      <c r="A36" s="419"/>
      <c r="B36" s="468" t="s">
        <v>64</v>
      </c>
      <c r="C36" s="469">
        <f>Man_Credits</f>
        <v>21</v>
      </c>
      <c r="D36" s="470">
        <f>Man_tot_user</f>
        <v>0</v>
      </c>
      <c r="E36" s="471">
        <f>BP_11/BP_01</f>
        <v>0</v>
      </c>
      <c r="F36" s="470">
        <f>Man_d_user</f>
        <v>0</v>
      </c>
      <c r="G36" s="472">
        <f>F36/C36</f>
        <v>0</v>
      </c>
      <c r="H36" s="470">
        <f>Man_c_user</f>
        <v>0</v>
      </c>
      <c r="I36" s="471">
        <f>H36/C36</f>
        <v>0</v>
      </c>
      <c r="J36" s="1153">
        <f>Poeng!BR341</f>
        <v>0.13</v>
      </c>
      <c r="K36" s="1151">
        <f>BP_22*J36</f>
        <v>0</v>
      </c>
      <c r="L36" s="810">
        <f>G36*J36</f>
        <v>0</v>
      </c>
      <c r="M36" s="811">
        <f>I36*J36</f>
        <v>0</v>
      </c>
      <c r="N36" s="434"/>
      <c r="O36" s="434"/>
      <c r="AA36" s="473" t="s">
        <v>13</v>
      </c>
      <c r="AB36" s="452" t="str">
        <f>Poeng!BP292</f>
        <v>Navn</v>
      </c>
      <c r="AC36" s="452" t="str">
        <f>AD22</f>
        <v>Initial target setting</v>
      </c>
      <c r="AD36" s="452" t="str">
        <f>AE22</f>
        <v>Design phase</v>
      </c>
      <c r="AE36" s="474" t="str">
        <f>AF22</f>
        <v>Construction phase</v>
      </c>
    </row>
    <row r="37" spans="1:32" ht="16.5" thickBot="1" x14ac:dyDescent="0.3">
      <c r="A37" s="419"/>
      <c r="B37" s="475" t="s">
        <v>67</v>
      </c>
      <c r="C37" s="476">
        <f>Hea_Credits</f>
        <v>19</v>
      </c>
      <c r="D37" s="477">
        <f>HW_tot_user</f>
        <v>0</v>
      </c>
      <c r="E37" s="478">
        <f>BP_12/BP_02</f>
        <v>0</v>
      </c>
      <c r="F37" s="477">
        <f>HW_d_user</f>
        <v>0</v>
      </c>
      <c r="G37" s="472">
        <f t="shared" ref="G37:G45" si="3">F37/C37</f>
        <v>0</v>
      </c>
      <c r="H37" s="477">
        <f>HW_c_user</f>
        <v>0</v>
      </c>
      <c r="I37" s="471">
        <f t="shared" ref="I37:I45" si="4">H37/C37</f>
        <v>0</v>
      </c>
      <c r="J37" s="1154">
        <f>Poeng!BR342</f>
        <v>0.16</v>
      </c>
      <c r="K37" s="485">
        <f>BP_23*J37</f>
        <v>0</v>
      </c>
      <c r="L37" s="810">
        <f t="shared" ref="L37:L45" si="5">G37*J37</f>
        <v>0</v>
      </c>
      <c r="M37" s="812">
        <f t="shared" ref="M37:M45" si="6">I37*J37</f>
        <v>0</v>
      </c>
      <c r="N37" s="434"/>
      <c r="O37" s="434"/>
      <c r="AA37" s="479" t="s">
        <v>14</v>
      </c>
      <c r="AB37" s="480" t="str">
        <f>Poeng!BP293</f>
        <v>Man 01</v>
      </c>
      <c r="AC37" s="481">
        <f>IF(D$9=$AA$36,Poeng!BQ293,"")</f>
        <v>3</v>
      </c>
      <c r="AD37" s="481" t="str">
        <f>IF(F$9=$AA$36,Poeng!BR293,"")</f>
        <v/>
      </c>
      <c r="AE37" s="482" t="str">
        <f>IF(H$9=$AA$36,Poeng!BS293,"")</f>
        <v/>
      </c>
    </row>
    <row r="38" spans="1:32" s="484" customFormat="1" ht="15.75" x14ac:dyDescent="0.25">
      <c r="A38" s="419"/>
      <c r="B38" s="475" t="s">
        <v>68</v>
      </c>
      <c r="C38" s="476">
        <f>Ene_Credits</f>
        <v>27</v>
      </c>
      <c r="D38" s="477">
        <f>Ene_tot_user</f>
        <v>0</v>
      </c>
      <c r="E38" s="478">
        <f>BP_13/BP_03</f>
        <v>0</v>
      </c>
      <c r="F38" s="477">
        <f>Ene_d_user</f>
        <v>0</v>
      </c>
      <c r="G38" s="472">
        <f t="shared" si="3"/>
        <v>0</v>
      </c>
      <c r="H38" s="477">
        <f>Ene_c_user</f>
        <v>0</v>
      </c>
      <c r="I38" s="471">
        <f t="shared" si="4"/>
        <v>0</v>
      </c>
      <c r="J38" s="1154">
        <f>Poeng!BR343</f>
        <v>0.14000000000000001</v>
      </c>
      <c r="K38" s="485">
        <f>BP_24*J38</f>
        <v>0</v>
      </c>
      <c r="L38" s="810">
        <f t="shared" si="5"/>
        <v>0</v>
      </c>
      <c r="M38" s="812">
        <f t="shared" si="6"/>
        <v>0</v>
      </c>
      <c r="N38" s="483"/>
      <c r="O38" s="483"/>
      <c r="AA38" s="420"/>
      <c r="AB38" s="480" t="str">
        <f>Poeng!BP294</f>
        <v>Man 03</v>
      </c>
      <c r="AC38" s="481">
        <f>IF(D$9=$AA$36,Poeng!BQ294,"")</f>
        <v>0</v>
      </c>
      <c r="AD38" s="481" t="str">
        <f>IF(F$9=$AA$36,Poeng!BR294,"")</f>
        <v/>
      </c>
      <c r="AE38" s="482" t="str">
        <f>IF(H$9=$AA$36,Poeng!BS294,"")</f>
        <v/>
      </c>
    </row>
    <row r="39" spans="1:32" s="484" customFormat="1" ht="15.75" x14ac:dyDescent="0.25">
      <c r="A39" s="419"/>
      <c r="B39" s="475" t="s">
        <v>69</v>
      </c>
      <c r="C39" s="476">
        <f>Tra_Credits</f>
        <v>13</v>
      </c>
      <c r="D39" s="477">
        <f>Tra_tot_user</f>
        <v>0</v>
      </c>
      <c r="E39" s="478">
        <f>BP_14/BP_04</f>
        <v>0</v>
      </c>
      <c r="F39" s="477">
        <f>Tra_d_user</f>
        <v>0</v>
      </c>
      <c r="G39" s="472">
        <f t="shared" si="3"/>
        <v>0</v>
      </c>
      <c r="H39" s="477">
        <f>Tra_c_user</f>
        <v>0</v>
      </c>
      <c r="I39" s="471">
        <f t="shared" si="4"/>
        <v>0</v>
      </c>
      <c r="J39" s="1154">
        <f>Poeng!BR344</f>
        <v>0.1</v>
      </c>
      <c r="K39" s="485">
        <f>BP_25*J39</f>
        <v>0</v>
      </c>
      <c r="L39" s="810">
        <f t="shared" si="5"/>
        <v>0</v>
      </c>
      <c r="M39" s="812">
        <f t="shared" si="6"/>
        <v>0</v>
      </c>
      <c r="N39" s="483"/>
      <c r="O39" s="483"/>
      <c r="AA39" s="420"/>
      <c r="AB39" s="480" t="str">
        <f>Poeng!BP295</f>
        <v>Man 04</v>
      </c>
      <c r="AC39" s="481">
        <f>IF(D$9=$AA$36,Poeng!BQ295,"")</f>
        <v>0</v>
      </c>
      <c r="AD39" s="481" t="str">
        <f>IF(F$9=$AA$36,Poeng!BR295,"")</f>
        <v/>
      </c>
      <c r="AE39" s="482" t="str">
        <f>IF(H$9=$AA$36,Poeng!BS295,"")</f>
        <v/>
      </c>
    </row>
    <row r="40" spans="1:32" s="484" customFormat="1" ht="15.75" x14ac:dyDescent="0.25">
      <c r="A40" s="419"/>
      <c r="B40" s="475" t="s">
        <v>61</v>
      </c>
      <c r="C40" s="476">
        <f>Wat_Credits</f>
        <v>9</v>
      </c>
      <c r="D40" s="477">
        <f>Wat_tot_user</f>
        <v>0</v>
      </c>
      <c r="E40" s="478">
        <f>BP_15/BP_05</f>
        <v>0</v>
      </c>
      <c r="F40" s="477">
        <f>Wat_d_user</f>
        <v>0</v>
      </c>
      <c r="G40" s="472">
        <f t="shared" si="3"/>
        <v>0</v>
      </c>
      <c r="H40" s="477">
        <f>Wat_c_user</f>
        <v>0</v>
      </c>
      <c r="I40" s="471">
        <f t="shared" si="4"/>
        <v>0</v>
      </c>
      <c r="J40" s="1154">
        <f>Poeng!BR345</f>
        <v>0.04</v>
      </c>
      <c r="K40" s="485">
        <f>BP_26*J40</f>
        <v>0</v>
      </c>
      <c r="L40" s="810">
        <f t="shared" si="5"/>
        <v>0</v>
      </c>
      <c r="M40" s="812">
        <f t="shared" si="6"/>
        <v>0</v>
      </c>
      <c r="N40" s="483"/>
      <c r="O40" s="483"/>
      <c r="AA40" s="420"/>
      <c r="AB40" s="480" t="str">
        <f>Poeng!BP296</f>
        <v>Man 05</v>
      </c>
      <c r="AC40" s="481">
        <f>IF(D$9=$AA$36,Poeng!BQ296,"")</f>
        <v>3</v>
      </c>
      <c r="AD40" s="481" t="str">
        <f>IF(F$9=$AA$36,Poeng!BR296,"")</f>
        <v/>
      </c>
      <c r="AE40" s="482" t="str">
        <f>IF(H$9=$AA$36,Poeng!BS296,"")</f>
        <v/>
      </c>
    </row>
    <row r="41" spans="1:32" s="484" customFormat="1" ht="15.75" x14ac:dyDescent="0.25">
      <c r="A41" s="419"/>
      <c r="B41" s="475" t="s">
        <v>70</v>
      </c>
      <c r="C41" s="476">
        <f>Mat_Credits</f>
        <v>21</v>
      </c>
      <c r="D41" s="477">
        <f>Mat_tot_user</f>
        <v>0</v>
      </c>
      <c r="E41" s="478">
        <f>BP_16/BP_06</f>
        <v>0</v>
      </c>
      <c r="F41" s="477">
        <f>Mat_d_user</f>
        <v>0</v>
      </c>
      <c r="G41" s="472">
        <f t="shared" si="3"/>
        <v>0</v>
      </c>
      <c r="H41" s="477">
        <f>Mat_c_user</f>
        <v>0</v>
      </c>
      <c r="I41" s="471">
        <f t="shared" si="4"/>
        <v>0</v>
      </c>
      <c r="J41" s="1154">
        <f>Poeng!BR346</f>
        <v>0.17</v>
      </c>
      <c r="K41" s="485">
        <f>BP_27*J41</f>
        <v>0</v>
      </c>
      <c r="L41" s="810">
        <f t="shared" si="5"/>
        <v>0</v>
      </c>
      <c r="M41" s="812">
        <f t="shared" si="6"/>
        <v>0</v>
      </c>
      <c r="N41" s="483"/>
      <c r="O41" s="483"/>
      <c r="AA41" s="420"/>
      <c r="AB41" s="480" t="str">
        <f>Poeng!BP297</f>
        <v>Hea 01</v>
      </c>
      <c r="AC41" s="481">
        <f>IF(D$9=$AA$36,Poeng!BQ297,"")</f>
        <v>0</v>
      </c>
      <c r="AD41" s="481" t="str">
        <f>IF(F$9=$AA$36,Poeng!BR297,"")</f>
        <v/>
      </c>
      <c r="AE41" s="482" t="str">
        <f>IF(H$9=$AA$36,Poeng!BS297,"")</f>
        <v/>
      </c>
    </row>
    <row r="42" spans="1:32" ht="15.75" x14ac:dyDescent="0.25">
      <c r="A42" s="419"/>
      <c r="B42" s="475" t="s">
        <v>71</v>
      </c>
      <c r="C42" s="476">
        <f>Wst_Credits</f>
        <v>7</v>
      </c>
      <c r="D42" s="477">
        <f>Wst_tot_user</f>
        <v>0</v>
      </c>
      <c r="E42" s="478">
        <f>BP_18/BP_07</f>
        <v>0</v>
      </c>
      <c r="F42" s="477">
        <f>Wst_d_user</f>
        <v>0</v>
      </c>
      <c r="G42" s="472">
        <f t="shared" si="3"/>
        <v>0</v>
      </c>
      <c r="H42" s="477">
        <f>Wst_c_user</f>
        <v>0</v>
      </c>
      <c r="I42" s="471">
        <f t="shared" si="4"/>
        <v>0</v>
      </c>
      <c r="J42" s="1154">
        <f>Poeng!BR347</f>
        <v>7.0000000000000007E-2</v>
      </c>
      <c r="K42" s="485">
        <f>BP_28*J42</f>
        <v>0</v>
      </c>
      <c r="L42" s="810">
        <f t="shared" si="5"/>
        <v>0</v>
      </c>
      <c r="M42" s="812">
        <f t="shared" si="6"/>
        <v>0</v>
      </c>
      <c r="N42" s="434"/>
      <c r="O42" s="434"/>
      <c r="AB42" s="480" t="str">
        <f>Poeng!BP298</f>
        <v>Hea 02</v>
      </c>
      <c r="AC42" s="481">
        <f>IF(D$9=$AA$36,Poeng!BQ298,"")</f>
        <v>3</v>
      </c>
      <c r="AD42" s="481" t="str">
        <f>IF(F$9=$AA$36,Poeng!BR298,"")</f>
        <v/>
      </c>
      <c r="AE42" s="482" t="str">
        <f>IF(H$9=$AA$36,Poeng!BS298,"")</f>
        <v/>
      </c>
    </row>
    <row r="43" spans="1:32" ht="15.75" x14ac:dyDescent="0.25">
      <c r="A43" s="419"/>
      <c r="B43" s="475" t="s">
        <v>72</v>
      </c>
      <c r="C43" s="476">
        <f>LE_Credits</f>
        <v>19</v>
      </c>
      <c r="D43" s="477">
        <f>Lue_tot_user</f>
        <v>0</v>
      </c>
      <c r="E43" s="478">
        <f>BP_19/BP_08</f>
        <v>0</v>
      </c>
      <c r="F43" s="477">
        <f>Lue_d_user</f>
        <v>0</v>
      </c>
      <c r="G43" s="472">
        <f t="shared" si="3"/>
        <v>0</v>
      </c>
      <c r="H43" s="477">
        <f>Lue_c_user</f>
        <v>0</v>
      </c>
      <c r="I43" s="471">
        <f t="shared" si="4"/>
        <v>0</v>
      </c>
      <c r="J43" s="1154">
        <f>Poeng!BR348</f>
        <v>0.15</v>
      </c>
      <c r="K43" s="485">
        <f>BP_29*J43</f>
        <v>0</v>
      </c>
      <c r="L43" s="810">
        <f t="shared" si="5"/>
        <v>0</v>
      </c>
      <c r="M43" s="812">
        <f t="shared" si="6"/>
        <v>0</v>
      </c>
      <c r="N43" s="434"/>
      <c r="O43" s="434"/>
      <c r="AB43" s="480" t="str">
        <f>Poeng!BP299</f>
        <v>Ene 01</v>
      </c>
      <c r="AC43" s="481">
        <f>IF(D$9=$AA$36,Poeng!BQ299,"")</f>
        <v>3</v>
      </c>
      <c r="AD43" s="481" t="str">
        <f>IF(F$9=$AA$36,Poeng!BR299,"")</f>
        <v/>
      </c>
      <c r="AE43" s="482" t="str">
        <f>IF(H$9=$AA$36,Poeng!BS299,"")</f>
        <v/>
      </c>
    </row>
    <row r="44" spans="1:32" ht="15.75" customHeight="1" x14ac:dyDescent="0.25">
      <c r="A44" s="419"/>
      <c r="B44" s="475" t="s">
        <v>73</v>
      </c>
      <c r="C44" s="476">
        <f>Pol_Credits</f>
        <v>7</v>
      </c>
      <c r="D44" s="477">
        <f>Pol_tot_user</f>
        <v>0</v>
      </c>
      <c r="E44" s="478">
        <f>BP_20/BP_09</f>
        <v>0</v>
      </c>
      <c r="F44" s="477">
        <f>Pol_d_user</f>
        <v>0</v>
      </c>
      <c r="G44" s="472">
        <f t="shared" si="3"/>
        <v>0</v>
      </c>
      <c r="H44" s="477">
        <f>Pol_c_user</f>
        <v>0</v>
      </c>
      <c r="I44" s="471">
        <f t="shared" si="4"/>
        <v>0</v>
      </c>
      <c r="J44" s="1154">
        <f>Poeng!BR349</f>
        <v>0.04</v>
      </c>
      <c r="K44" s="485">
        <f>BP_30*J44</f>
        <v>0</v>
      </c>
      <c r="L44" s="810">
        <f t="shared" si="5"/>
        <v>0</v>
      </c>
      <c r="M44" s="812">
        <f t="shared" si="6"/>
        <v>0</v>
      </c>
      <c r="N44" s="434"/>
      <c r="O44" s="434"/>
      <c r="AB44" s="480" t="str">
        <f>IF(AF44=9,"",Poeng!BP300)</f>
        <v>Ene 07</v>
      </c>
      <c r="AC44" s="481">
        <f>IF(AF44=9,"",IF(D$9=$AA$36,Poeng!BQ300,""))</f>
        <v>0</v>
      </c>
      <c r="AD44" s="481" t="str">
        <f>IF(AF44=9,"",IF(F$9=$AA$36,Poeng!BR300,""))</f>
        <v/>
      </c>
      <c r="AE44" s="482" t="str">
        <f>IF(AF44=9,"",IF(H$9=$AA$36,Poeng!BS300,""))</f>
        <v/>
      </c>
      <c r="AF44" s="420">
        <f>Poeng!BQ300</f>
        <v>0</v>
      </c>
    </row>
    <row r="45" spans="1:32" ht="15.75" x14ac:dyDescent="0.25">
      <c r="A45" s="419"/>
      <c r="B45" s="475" t="s">
        <v>74</v>
      </c>
      <c r="C45" s="476">
        <f>Inn_Credits</f>
        <v>10</v>
      </c>
      <c r="D45" s="477">
        <f>Inn_tot_user</f>
        <v>0</v>
      </c>
      <c r="E45" s="478">
        <f>BP_21/BP_10</f>
        <v>0</v>
      </c>
      <c r="F45" s="477">
        <f>Inn_d_user</f>
        <v>0</v>
      </c>
      <c r="G45" s="472">
        <f t="shared" si="3"/>
        <v>0</v>
      </c>
      <c r="H45" s="477">
        <f>Inn_c_user</f>
        <v>0</v>
      </c>
      <c r="I45" s="471">
        <f t="shared" si="4"/>
        <v>0</v>
      </c>
      <c r="J45" s="1154">
        <v>0.1</v>
      </c>
      <c r="K45" s="485">
        <f>BP_31*J45</f>
        <v>0</v>
      </c>
      <c r="L45" s="810">
        <f t="shared" si="5"/>
        <v>0</v>
      </c>
      <c r="M45" s="812">
        <f t="shared" si="6"/>
        <v>0</v>
      </c>
      <c r="N45" s="434"/>
      <c r="O45" s="434"/>
      <c r="AB45" s="480" t="str">
        <f>Poeng!BP301</f>
        <v>Tra 01</v>
      </c>
      <c r="AC45" s="481">
        <f>IF(D$9=$AA$36,Poeng!BQ301,"")</f>
        <v>3</v>
      </c>
      <c r="AD45" s="481" t="str">
        <f>IF(F$9=$AA$36,Poeng!BR301,"")</f>
        <v/>
      </c>
      <c r="AE45" s="482" t="str">
        <f>IF(H$9=$AA$36,Poeng!BS301,"")</f>
        <v/>
      </c>
    </row>
    <row r="46" spans="1:32" ht="15.75" x14ac:dyDescent="0.25">
      <c r="A46" s="419"/>
      <c r="B46" s="486" t="s">
        <v>216</v>
      </c>
      <c r="C46" s="487">
        <f>SUM(C36:C45)</f>
        <v>153</v>
      </c>
      <c r="D46" s="488">
        <f>SUM(D36:D45)</f>
        <v>0</v>
      </c>
      <c r="E46" s="489"/>
      <c r="F46" s="490">
        <f>SUM(F36:F45)</f>
        <v>0</v>
      </c>
      <c r="G46" s="491"/>
      <c r="H46" s="488">
        <f>SUM(H36:H45)</f>
        <v>0</v>
      </c>
      <c r="I46" s="489"/>
      <c r="J46" s="1155">
        <f>SUM(J36:J45)</f>
        <v>1.1000000000000001</v>
      </c>
      <c r="K46" s="1152">
        <f>IF(SUM(K36:K45)&gt;1,1,SUM(K36:K45))</f>
        <v>0</v>
      </c>
      <c r="L46" s="492">
        <f t="shared" ref="L46:M46" si="7">IF(SUM(L36:L45)&gt;1,1,SUM(L36:L45))</f>
        <v>0</v>
      </c>
      <c r="M46" s="493">
        <f t="shared" si="7"/>
        <v>0</v>
      </c>
      <c r="N46" s="434"/>
      <c r="O46" s="434"/>
      <c r="AB46" s="480" t="str">
        <f>Poeng!BP302</f>
        <v>Wat 01</v>
      </c>
      <c r="AC46" s="481">
        <f>IF(D$9=$AA$36,Poeng!BQ302,"")</f>
        <v>3</v>
      </c>
      <c r="AD46" s="481" t="str">
        <f>IF(F$9=$AA$36,Poeng!BR302,"")</f>
        <v/>
      </c>
      <c r="AE46" s="482" t="str">
        <f>IF(H$9=$AA$36,Poeng!BS302,"")</f>
        <v/>
      </c>
    </row>
    <row r="47" spans="1:32" ht="15.75" x14ac:dyDescent="0.25">
      <c r="A47" s="419"/>
      <c r="B47" s="494" t="s">
        <v>315</v>
      </c>
      <c r="C47" s="495"/>
      <c r="D47" s="495"/>
      <c r="E47" s="495"/>
      <c r="F47" s="495"/>
      <c r="G47" s="495"/>
      <c r="H47" s="495"/>
      <c r="I47" s="495"/>
      <c r="J47" s="1156"/>
      <c r="K47" s="485" t="str">
        <f>D10</f>
        <v>Unclassified</v>
      </c>
      <c r="L47" s="496" t="str">
        <f>F10</f>
        <v>Unclassified</v>
      </c>
      <c r="M47" s="489" t="str">
        <f>H10</f>
        <v>Unclassified</v>
      </c>
      <c r="N47" s="434"/>
      <c r="O47" s="434"/>
      <c r="AB47" s="480" t="str">
        <f>Poeng!BP303</f>
        <v>Mat 01</v>
      </c>
      <c r="AC47" s="481">
        <f>IF(D$9=$AA$36,Poeng!BQ303,"")</f>
        <v>0</v>
      </c>
      <c r="AD47" s="481" t="str">
        <f>IF(F$9=$AA$36,Poeng!BR303,"")</f>
        <v/>
      </c>
      <c r="AE47" s="482" t="str">
        <f>IF(H$9=$AA$36,Poeng!BS303,"")</f>
        <v/>
      </c>
    </row>
    <row r="48" spans="1:32" ht="15.75" x14ac:dyDescent="0.25">
      <c r="A48" s="497"/>
      <c r="B48" s="494" t="s">
        <v>82</v>
      </c>
      <c r="C48" s="495"/>
      <c r="D48" s="495"/>
      <c r="E48" s="495"/>
      <c r="F48" s="495"/>
      <c r="G48" s="495"/>
      <c r="H48" s="495"/>
      <c r="I48" s="495"/>
      <c r="J48" s="1156"/>
      <c r="K48" s="485" t="str">
        <f>D12</f>
        <v>Unclassified</v>
      </c>
      <c r="L48" s="496" t="str">
        <f>F12</f>
        <v>Unclassified</v>
      </c>
      <c r="M48" s="489" t="str">
        <f>H12</f>
        <v>Unclassified</v>
      </c>
      <c r="N48" s="498"/>
      <c r="O48" s="499"/>
      <c r="P48" s="500"/>
      <c r="Q48" s="500"/>
      <c r="R48" s="500"/>
      <c r="S48" s="500"/>
      <c r="AB48" s="480" t="str">
        <f>Poeng!BP304</f>
        <v>Mat 02</v>
      </c>
      <c r="AC48" s="481">
        <f>IF(D$9=$AA$36,Poeng!BQ304,"")</f>
        <v>0</v>
      </c>
      <c r="AD48" s="481" t="str">
        <f>IF(F$9=$AA$36,Poeng!BR304,"")</f>
        <v/>
      </c>
      <c r="AE48" s="482" t="str">
        <f>IF(H$9=$AA$36,Poeng!BS304,"")</f>
        <v/>
      </c>
    </row>
    <row r="49" spans="1:33" s="501" customFormat="1" ht="15.75" x14ac:dyDescent="0.25">
      <c r="B49" s="494" t="str">
        <f>C13</f>
        <v xml:space="preserve">Requirements for EU taxonomy </v>
      </c>
      <c r="C49" s="495"/>
      <c r="D49" s="495"/>
      <c r="E49" s="495"/>
      <c r="F49" s="495"/>
      <c r="G49" s="495"/>
      <c r="H49" s="495"/>
      <c r="I49" s="495"/>
      <c r="J49" s="1156"/>
      <c r="K49" s="485" t="str">
        <f>D13</f>
        <v>No</v>
      </c>
      <c r="L49" s="496" t="str">
        <f>F13</f>
        <v>No</v>
      </c>
      <c r="M49" s="489" t="str">
        <f>H13</f>
        <v>No</v>
      </c>
      <c r="O49" s="502"/>
      <c r="P49" s="502"/>
      <c r="Q49" s="502"/>
      <c r="R49" s="502"/>
      <c r="S49" s="502"/>
      <c r="T49" s="502"/>
      <c r="U49" s="502"/>
      <c r="AA49" s="420"/>
      <c r="AB49" s="480" t="str">
        <f>Poeng!BP305</f>
        <v>Mat 03</v>
      </c>
      <c r="AC49" s="481">
        <f>IF(D$9=$AA$36,Poeng!BQ305,"")</f>
        <v>0</v>
      </c>
      <c r="AD49" s="481" t="str">
        <f>IF(F$9=$AA$36,Poeng!BR305,"")</f>
        <v/>
      </c>
      <c r="AE49" s="482" t="str">
        <f>IF(H$9=$AA$36,Poeng!BS305,"")</f>
        <v/>
      </c>
      <c r="AF49" s="420"/>
      <c r="AG49" s="420"/>
    </row>
    <row r="50" spans="1:33" s="501" customFormat="1" x14ac:dyDescent="0.25">
      <c r="B50" s="419"/>
      <c r="C50" s="419"/>
      <c r="D50" s="419"/>
      <c r="E50" s="419"/>
      <c r="F50" s="419"/>
      <c r="G50" s="419"/>
      <c r="H50" s="419"/>
      <c r="I50" s="419"/>
      <c r="J50" s="419"/>
      <c r="K50" s="419"/>
      <c r="L50" s="419"/>
      <c r="M50" s="419"/>
      <c r="AA50" s="420"/>
      <c r="AB50" s="480" t="str">
        <f>Poeng!BP306</f>
        <v>Mat 05</v>
      </c>
      <c r="AC50" s="481">
        <f>IF(D$9=$AA$36,Poeng!BQ306,"")</f>
        <v>3</v>
      </c>
      <c r="AD50" s="481" t="str">
        <f>IF(F$9=$AA$36,Poeng!BR306,"")</f>
        <v/>
      </c>
      <c r="AE50" s="482" t="str">
        <f>IF(H$9=$AA$36,Poeng!BS306,"")</f>
        <v/>
      </c>
      <c r="AF50" s="420"/>
      <c r="AG50" s="420"/>
    </row>
    <row r="51" spans="1:33" s="419" customFormat="1" x14ac:dyDescent="0.25">
      <c r="A51" s="1246"/>
      <c r="B51" s="1246"/>
      <c r="C51" s="1246"/>
      <c r="D51" s="1246"/>
      <c r="E51" s="1246"/>
      <c r="F51" s="1246"/>
      <c r="G51" s="1246"/>
      <c r="H51" s="1246"/>
      <c r="I51" s="1246"/>
      <c r="J51" s="1246"/>
      <c r="K51" s="1246"/>
      <c r="L51" s="1246"/>
      <c r="M51" s="1246"/>
      <c r="N51" s="1246"/>
      <c r="O51" s="1246"/>
      <c r="P51" s="1246"/>
      <c r="Q51" s="1246"/>
      <c r="AA51" s="420"/>
      <c r="AB51" s="480" t="str">
        <f>Poeng!BP307</f>
        <v>Mat 06</v>
      </c>
      <c r="AC51" s="481">
        <f>IF(D$9=$AA$36,Poeng!BQ307,"")</f>
        <v>0</v>
      </c>
      <c r="AD51" s="481" t="str">
        <f>IF(F$9=$AA$36,Poeng!BR307,"")</f>
        <v/>
      </c>
      <c r="AE51" s="482" t="str">
        <f>IF(H$9=$AA$36,Poeng!BS307,"")</f>
        <v/>
      </c>
      <c r="AF51" s="501"/>
      <c r="AG51" s="501"/>
    </row>
    <row r="52" spans="1:33" s="419" customFormat="1" x14ac:dyDescent="0.25">
      <c r="A52" s="1246"/>
      <c r="B52" s="1246"/>
      <c r="C52" s="1246"/>
      <c r="D52" s="1246"/>
      <c r="E52" s="1246"/>
      <c r="F52" s="1246"/>
      <c r="G52" s="1246"/>
      <c r="H52" s="1246"/>
      <c r="I52" s="1246"/>
      <c r="J52" s="1246"/>
      <c r="K52" s="1246"/>
      <c r="L52" s="1246"/>
      <c r="M52" s="1246"/>
      <c r="N52" s="1246"/>
      <c r="O52" s="1246"/>
      <c r="P52" s="1246"/>
      <c r="Q52" s="1246"/>
      <c r="AA52" s="504"/>
      <c r="AB52" s="480" t="str">
        <f>Poeng!BP308</f>
        <v>Mat 07</v>
      </c>
      <c r="AC52" s="481">
        <f>IF(D$9=$AA$36,Poeng!BQ308,"")</f>
        <v>3</v>
      </c>
      <c r="AD52" s="481" t="str">
        <f>IF(F$9=$AA$36,Poeng!BR308,"")</f>
        <v/>
      </c>
      <c r="AE52" s="482" t="str">
        <f>IF(H$9=$AA$36,Poeng!BS308,"")</f>
        <v/>
      </c>
      <c r="AF52" s="501"/>
      <c r="AG52" s="501"/>
    </row>
    <row r="53" spans="1:33" s="419" customFormat="1" x14ac:dyDescent="0.25">
      <c r="A53" s="1246"/>
      <c r="B53" s="1246"/>
      <c r="C53" s="1246"/>
      <c r="D53" s="1246"/>
      <c r="E53" s="1246"/>
      <c r="F53" s="1247"/>
      <c r="G53" s="1247"/>
      <c r="H53" s="1247"/>
      <c r="I53" s="1247"/>
      <c r="J53" s="1247"/>
      <c r="K53" s="1247"/>
      <c r="L53" s="1248"/>
      <c r="M53" s="1246"/>
      <c r="N53" s="1246"/>
      <c r="O53" s="1246"/>
      <c r="P53" s="1246"/>
      <c r="Q53" s="1246"/>
      <c r="AB53" s="480" t="str">
        <f>Poeng!BP309</f>
        <v>Wst 01</v>
      </c>
      <c r="AC53" s="481">
        <f>IF(D$9=$AA$36,Poeng!BQ309,"")</f>
        <v>0</v>
      </c>
      <c r="AD53" s="481" t="str">
        <f>IF(F$9=$AA$36,Poeng!BR309,"")</f>
        <v/>
      </c>
      <c r="AE53" s="482" t="str">
        <f>IF(H$9=$AA$36,Poeng!BS309,"")</f>
        <v/>
      </c>
    </row>
    <row r="54" spans="1:33" s="419" customFormat="1" x14ac:dyDescent="0.25">
      <c r="A54" s="1246"/>
      <c r="B54" s="1246"/>
      <c r="C54" s="1246"/>
      <c r="D54" s="1246"/>
      <c r="E54" s="1246"/>
      <c r="F54" s="1246"/>
      <c r="G54" s="1246"/>
      <c r="H54" s="1246"/>
      <c r="I54" s="1246"/>
      <c r="J54" s="1249"/>
      <c r="K54" s="1246"/>
      <c r="L54" s="1246"/>
      <c r="M54" s="1246"/>
      <c r="N54" s="1246"/>
      <c r="O54" s="1246"/>
      <c r="P54" s="1246"/>
      <c r="Q54" s="1246"/>
      <c r="AB54" s="480" t="str">
        <f>Poeng!BP310</f>
        <v>Wst 03</v>
      </c>
      <c r="AC54" s="481">
        <f>IF(D$9=$AA$36,Poeng!BQ310,"")</f>
        <v>3</v>
      </c>
      <c r="AD54" s="481" t="str">
        <f>IF(F$9=$AA$36,Poeng!BR310,"")</f>
        <v/>
      </c>
      <c r="AE54" s="482" t="str">
        <f>IF(H$9=$AA$36,Poeng!BS310,"")</f>
        <v/>
      </c>
    </row>
    <row r="55" spans="1:33" x14ac:dyDescent="0.25">
      <c r="A55" s="1250"/>
      <c r="B55" s="1250"/>
      <c r="C55" s="1250"/>
      <c r="D55" s="1250"/>
      <c r="E55" s="1250"/>
      <c r="F55" s="1250"/>
      <c r="G55" s="1250"/>
      <c r="H55" s="1250"/>
      <c r="I55" s="1250"/>
      <c r="J55" s="1250"/>
      <c r="K55" s="1250"/>
      <c r="L55" s="1250"/>
      <c r="M55" s="1250"/>
      <c r="N55" s="1250"/>
      <c r="O55" s="1250"/>
      <c r="P55" s="1251"/>
      <c r="Q55" s="1251"/>
      <c r="AB55" s="480" t="str">
        <f>Poeng!BP311</f>
        <v>LE 01</v>
      </c>
      <c r="AC55" s="481">
        <f>IF(D$9=$AA$36,Poeng!BQ311,"")</f>
        <v>3</v>
      </c>
      <c r="AD55" s="481" t="str">
        <f>IF(F$9=$AA$36,Poeng!BR311,"")</f>
        <v/>
      </c>
      <c r="AE55" s="482" t="str">
        <f>IF(H$9=$AA$36,Poeng!BS311,"")</f>
        <v/>
      </c>
      <c r="AF55" s="419"/>
      <c r="AG55" s="419"/>
    </row>
    <row r="56" spans="1:33" x14ac:dyDescent="0.25">
      <c r="A56" s="1250"/>
      <c r="B56" s="1250"/>
      <c r="C56" s="1250"/>
      <c r="D56" s="1250"/>
      <c r="E56" s="1250"/>
      <c r="F56" s="1250"/>
      <c r="G56" s="1250"/>
      <c r="H56" s="1250"/>
      <c r="I56" s="1250"/>
      <c r="J56" s="1250"/>
      <c r="K56" s="1250"/>
      <c r="L56" s="1250"/>
      <c r="M56" s="1250"/>
      <c r="N56" s="1250"/>
      <c r="O56" s="1250"/>
      <c r="P56" s="1251"/>
      <c r="Q56" s="1251"/>
      <c r="AB56" s="480" t="str">
        <f>Poeng!BP312</f>
        <v>LE 02</v>
      </c>
      <c r="AC56" s="481">
        <f>IF(D$9=$AA$36,Poeng!BQ312,"")</f>
        <v>2</v>
      </c>
      <c r="AD56" s="481" t="str">
        <f>IF(F$9=$AA$36,Poeng!BR312,"")</f>
        <v/>
      </c>
      <c r="AE56" s="482" t="str">
        <f>IF(H$9=$AA$36,Poeng!BS312,"")</f>
        <v/>
      </c>
      <c r="AF56" s="419"/>
      <c r="AG56" s="419"/>
    </row>
    <row r="57" spans="1:33" x14ac:dyDescent="0.25">
      <c r="A57" s="1250"/>
      <c r="B57" s="1250"/>
      <c r="C57" s="1250"/>
      <c r="D57" s="1250"/>
      <c r="E57" s="1250"/>
      <c r="F57" s="1250"/>
      <c r="G57" s="1250"/>
      <c r="H57" s="1250"/>
      <c r="I57" s="1250"/>
      <c r="J57" s="1252"/>
      <c r="K57" s="1250"/>
      <c r="L57" s="1250"/>
      <c r="M57" s="1250"/>
      <c r="N57" s="1250"/>
      <c r="O57" s="1250"/>
      <c r="P57" s="1251"/>
      <c r="Q57" s="1251"/>
      <c r="AB57" s="480" t="str">
        <f>Poeng!BP313</f>
        <v>LE 04</v>
      </c>
      <c r="AC57" s="481">
        <f>IF(D$9=$AA$36,Poeng!BQ313,"")</f>
        <v>4</v>
      </c>
      <c r="AD57" s="481" t="str">
        <f>IF(F$9=$AA$36,Poeng!BR313,"")</f>
        <v/>
      </c>
      <c r="AE57" s="482" t="str">
        <f>IF(H$9=$AA$36,Poeng!BS313,"")</f>
        <v/>
      </c>
    </row>
    <row r="58" spans="1:33" x14ac:dyDescent="0.25">
      <c r="A58" s="1250"/>
      <c r="B58" s="1250"/>
      <c r="C58" s="1250"/>
      <c r="D58" s="1250"/>
      <c r="E58" s="1250"/>
      <c r="F58" s="1250"/>
      <c r="G58" s="1250"/>
      <c r="H58" s="1250"/>
      <c r="I58" s="1250"/>
      <c r="J58" s="1250"/>
      <c r="K58" s="1250"/>
      <c r="L58" s="1250"/>
      <c r="M58" s="1250"/>
      <c r="N58" s="1250"/>
      <c r="O58" s="1250"/>
      <c r="P58" s="1253"/>
      <c r="Q58" s="1251"/>
      <c r="AB58" s="480" t="str">
        <f>Poeng!BP314</f>
        <v>LE 06</v>
      </c>
      <c r="AC58" s="481">
        <f>IF(D$9=$AA$36,Poeng!BQ314,"")</f>
        <v>3</v>
      </c>
      <c r="AD58" s="481" t="str">
        <f>IF(F$9=$AA$36,Poeng!BR314,"")</f>
        <v/>
      </c>
      <c r="AE58" s="482" t="str">
        <f>IF(H$9=$AA$36,Poeng!BS314,"")</f>
        <v/>
      </c>
    </row>
    <row r="59" spans="1:33" x14ac:dyDescent="0.25">
      <c r="A59" s="1250"/>
      <c r="B59" s="1250"/>
      <c r="C59" s="1250"/>
      <c r="D59" s="1250"/>
      <c r="E59" s="1250"/>
      <c r="F59" s="1250"/>
      <c r="G59" s="1250"/>
      <c r="H59" s="1250"/>
      <c r="I59" s="1250"/>
      <c r="J59" s="1250"/>
      <c r="K59" s="1250"/>
      <c r="L59" s="1250"/>
      <c r="M59" s="1250"/>
      <c r="N59" s="1250"/>
      <c r="O59" s="1250"/>
      <c r="P59" s="1251"/>
      <c r="Q59" s="1251"/>
    </row>
    <row r="60" spans="1:33" x14ac:dyDescent="0.25">
      <c r="A60" s="434"/>
      <c r="B60" s="434"/>
      <c r="C60" s="434"/>
      <c r="D60" s="434"/>
      <c r="E60" s="434"/>
      <c r="F60" s="434"/>
      <c r="G60" s="434"/>
      <c r="H60" s="434"/>
      <c r="I60" s="434"/>
      <c r="J60" s="434"/>
      <c r="K60" s="434"/>
      <c r="L60" s="434"/>
      <c r="M60" s="434"/>
      <c r="N60" s="434"/>
      <c r="O60" s="434"/>
    </row>
    <row r="61" spans="1:33" x14ac:dyDescent="0.25">
      <c r="A61" s="434"/>
      <c r="B61" s="434"/>
      <c r="C61" s="434"/>
      <c r="D61" s="434"/>
      <c r="E61" s="434"/>
      <c r="F61" s="434"/>
      <c r="G61" s="434"/>
      <c r="H61" s="434"/>
      <c r="I61" s="434"/>
      <c r="J61" s="434"/>
      <c r="K61" s="434"/>
      <c r="L61" s="434"/>
      <c r="M61" s="434"/>
      <c r="N61" s="434"/>
      <c r="O61" s="434"/>
      <c r="P61" s="505"/>
    </row>
    <row r="62" spans="1:33" x14ac:dyDescent="0.25">
      <c r="A62" s="434"/>
      <c r="B62" s="434"/>
      <c r="C62" s="434"/>
      <c r="D62" s="434"/>
      <c r="E62" s="434"/>
      <c r="F62" s="434"/>
      <c r="G62" s="434"/>
      <c r="H62" s="434"/>
      <c r="I62" s="434"/>
      <c r="J62" s="434"/>
      <c r="K62" s="434"/>
      <c r="L62" s="434"/>
      <c r="M62" s="434"/>
      <c r="N62" s="434"/>
      <c r="O62" s="434"/>
    </row>
    <row r="63" spans="1:33" x14ac:dyDescent="0.25">
      <c r="A63" s="434"/>
      <c r="B63" s="434"/>
      <c r="C63" s="434"/>
      <c r="D63" s="434"/>
      <c r="E63" s="434"/>
      <c r="F63" s="434"/>
      <c r="G63" s="434"/>
      <c r="H63" s="434"/>
      <c r="I63" s="434"/>
      <c r="J63" s="434"/>
      <c r="K63" s="434"/>
      <c r="L63" s="434"/>
      <c r="M63" s="434"/>
      <c r="N63" s="434"/>
      <c r="O63" s="434"/>
    </row>
    <row r="64" spans="1:33" x14ac:dyDescent="0.25">
      <c r="A64" s="434"/>
      <c r="B64" s="434"/>
      <c r="C64" s="434"/>
      <c r="D64" s="434"/>
      <c r="E64" s="434"/>
      <c r="F64" s="434"/>
      <c r="G64" s="434"/>
      <c r="H64" s="434"/>
      <c r="I64" s="434"/>
      <c r="J64" s="434"/>
      <c r="K64" s="434"/>
      <c r="L64" s="434"/>
      <c r="M64" s="434"/>
      <c r="N64" s="434"/>
      <c r="O64" s="434"/>
      <c r="P64" s="505"/>
    </row>
    <row r="65" spans="1:15" x14ac:dyDescent="0.25">
      <c r="A65" s="434"/>
      <c r="B65" s="434"/>
      <c r="C65" s="434"/>
      <c r="D65" s="434"/>
      <c r="E65" s="434"/>
      <c r="F65" s="434"/>
      <c r="G65" s="434"/>
      <c r="H65" s="434"/>
      <c r="I65" s="434"/>
      <c r="J65" s="434"/>
      <c r="K65" s="434"/>
      <c r="L65" s="434"/>
      <c r="M65" s="434"/>
      <c r="N65" s="434"/>
      <c r="O65" s="434"/>
    </row>
    <row r="66" spans="1:15" x14ac:dyDescent="0.25">
      <c r="A66" s="434"/>
      <c r="B66" s="434"/>
      <c r="C66" s="434"/>
      <c r="D66" s="434"/>
      <c r="E66" s="434"/>
      <c r="F66" s="434"/>
      <c r="G66" s="434"/>
      <c r="H66" s="434"/>
      <c r="I66" s="434"/>
      <c r="J66" s="434"/>
      <c r="K66" s="434"/>
      <c r="L66" s="434"/>
      <c r="M66" s="434"/>
      <c r="N66" s="434"/>
      <c r="O66" s="434"/>
    </row>
    <row r="67" spans="1:15" x14ac:dyDescent="0.25">
      <c r="A67" s="434"/>
      <c r="B67" s="434"/>
      <c r="C67" s="434"/>
      <c r="D67" s="434"/>
      <c r="E67" s="434"/>
      <c r="F67" s="434"/>
      <c r="G67" s="434"/>
      <c r="H67" s="434"/>
      <c r="I67" s="434"/>
      <c r="J67" s="434"/>
      <c r="K67" s="434"/>
      <c r="L67" s="434"/>
      <c r="M67" s="434"/>
      <c r="N67" s="434"/>
      <c r="O67" s="434"/>
    </row>
    <row r="68" spans="1:15" x14ac:dyDescent="0.25">
      <c r="A68" s="434"/>
      <c r="B68" s="434"/>
      <c r="C68" s="434"/>
      <c r="D68" s="434"/>
      <c r="E68" s="434"/>
      <c r="F68" s="434"/>
      <c r="G68" s="434"/>
      <c r="H68" s="434"/>
      <c r="I68" s="434"/>
      <c r="J68" s="434"/>
      <c r="K68" s="434"/>
      <c r="L68" s="434"/>
      <c r="M68" s="434"/>
      <c r="N68" s="434"/>
      <c r="O68" s="434"/>
    </row>
    <row r="69" spans="1:15" x14ac:dyDescent="0.25">
      <c r="A69" s="434"/>
      <c r="B69" s="434"/>
      <c r="C69" s="434"/>
      <c r="D69" s="434"/>
      <c r="E69" s="434"/>
      <c r="F69" s="434"/>
      <c r="G69" s="434"/>
      <c r="H69" s="434"/>
      <c r="I69" s="434"/>
      <c r="J69" s="434"/>
      <c r="K69" s="434"/>
      <c r="L69" s="434"/>
      <c r="M69" s="434"/>
      <c r="N69" s="434"/>
      <c r="O69" s="434"/>
    </row>
    <row r="70" spans="1:15" x14ac:dyDescent="0.25">
      <c r="A70" s="434"/>
      <c r="B70" s="434"/>
      <c r="C70" s="434"/>
      <c r="D70" s="434"/>
      <c r="E70" s="434"/>
      <c r="F70" s="434"/>
      <c r="G70" s="434"/>
      <c r="H70" s="434"/>
      <c r="I70" s="434"/>
      <c r="J70" s="434"/>
      <c r="K70" s="434"/>
      <c r="L70" s="434"/>
      <c r="M70" s="434"/>
      <c r="N70" s="434"/>
      <c r="O70" s="434"/>
    </row>
    <row r="71" spans="1:15" x14ac:dyDescent="0.25">
      <c r="A71" s="434"/>
      <c r="B71" s="434"/>
      <c r="C71" s="434"/>
      <c r="D71" s="434"/>
      <c r="E71" s="434"/>
      <c r="F71" s="434"/>
      <c r="G71" s="434"/>
      <c r="H71" s="434"/>
      <c r="I71" s="434"/>
      <c r="J71" s="434"/>
      <c r="K71" s="434"/>
      <c r="L71" s="434"/>
      <c r="M71" s="434"/>
      <c r="N71" s="434"/>
      <c r="O71" s="434"/>
    </row>
    <row r="72" spans="1:15" x14ac:dyDescent="0.25">
      <c r="A72" s="434"/>
      <c r="B72" s="434"/>
      <c r="C72" s="434"/>
      <c r="D72" s="434"/>
      <c r="E72" s="434"/>
      <c r="F72" s="434"/>
      <c r="G72" s="434"/>
      <c r="H72" s="434"/>
      <c r="I72" s="434"/>
      <c r="J72" s="434"/>
      <c r="K72" s="434"/>
      <c r="L72" s="434"/>
      <c r="M72" s="434"/>
      <c r="N72" s="434"/>
      <c r="O72" s="434"/>
    </row>
    <row r="73" spans="1:15" x14ac:dyDescent="0.25">
      <c r="A73" s="434"/>
      <c r="B73" s="434"/>
      <c r="C73" s="434"/>
      <c r="D73" s="434"/>
      <c r="E73" s="434"/>
      <c r="F73" s="434"/>
      <c r="G73" s="434"/>
      <c r="H73" s="434"/>
      <c r="I73" s="434"/>
      <c r="J73" s="434"/>
      <c r="K73" s="434"/>
      <c r="L73" s="434"/>
      <c r="M73" s="434"/>
      <c r="N73" s="434"/>
      <c r="O73" s="434"/>
    </row>
    <row r="74" spans="1:15" x14ac:dyDescent="0.25">
      <c r="A74" s="434"/>
      <c r="B74" s="434"/>
      <c r="C74" s="434"/>
      <c r="D74" s="434"/>
      <c r="E74" s="434"/>
      <c r="F74" s="434"/>
      <c r="G74" s="434"/>
      <c r="H74" s="434"/>
      <c r="I74" s="434"/>
      <c r="J74" s="434"/>
      <c r="K74" s="434"/>
      <c r="L74" s="434"/>
      <c r="M74" s="434"/>
      <c r="N74" s="434"/>
      <c r="O74" s="434"/>
    </row>
    <row r="75" spans="1:15" x14ac:dyDescent="0.25">
      <c r="A75" s="434"/>
      <c r="B75" s="434"/>
      <c r="C75" s="434"/>
      <c r="D75" s="434"/>
      <c r="E75" s="434"/>
      <c r="F75" s="434"/>
      <c r="G75" s="434"/>
      <c r="H75" s="434"/>
      <c r="I75" s="434"/>
      <c r="J75" s="434"/>
      <c r="K75" s="434"/>
      <c r="L75" s="434"/>
      <c r="M75" s="434"/>
      <c r="N75" s="434"/>
      <c r="O75" s="434"/>
    </row>
    <row r="76" spans="1:15" x14ac:dyDescent="0.25">
      <c r="A76" s="434"/>
      <c r="B76" s="434"/>
      <c r="C76" s="434"/>
      <c r="D76" s="434"/>
      <c r="E76" s="434"/>
      <c r="F76" s="434"/>
      <c r="G76" s="434"/>
      <c r="H76" s="434"/>
      <c r="I76" s="434"/>
      <c r="J76" s="434"/>
      <c r="K76" s="434"/>
      <c r="L76" s="434"/>
      <c r="M76" s="434"/>
      <c r="N76" s="434"/>
      <c r="O76" s="434"/>
    </row>
    <row r="77" spans="1:15" x14ac:dyDescent="0.25">
      <c r="A77" s="434"/>
      <c r="B77" s="434"/>
      <c r="C77" s="434"/>
      <c r="D77" s="434"/>
      <c r="E77" s="434"/>
      <c r="F77" s="434"/>
      <c r="G77" s="434"/>
      <c r="H77" s="434"/>
      <c r="I77" s="434"/>
      <c r="J77" s="434"/>
      <c r="K77" s="434"/>
      <c r="L77" s="434"/>
      <c r="M77" s="434"/>
      <c r="N77" s="434"/>
      <c r="O77" s="434"/>
    </row>
    <row r="78" spans="1:15" x14ac:dyDescent="0.25">
      <c r="A78" s="434"/>
      <c r="B78" s="434"/>
      <c r="C78" s="434"/>
      <c r="D78" s="434"/>
      <c r="E78" s="434"/>
      <c r="F78" s="434"/>
      <c r="G78" s="434"/>
      <c r="H78" s="434"/>
      <c r="I78" s="434"/>
      <c r="J78" s="434"/>
      <c r="K78" s="434"/>
      <c r="L78" s="434"/>
      <c r="M78" s="434"/>
      <c r="N78" s="434"/>
      <c r="O78" s="434"/>
    </row>
    <row r="79" spans="1:15" x14ac:dyDescent="0.25">
      <c r="A79" s="434"/>
      <c r="B79" s="434"/>
      <c r="C79" s="434"/>
      <c r="D79" s="434"/>
      <c r="E79" s="434"/>
      <c r="F79" s="434"/>
      <c r="G79" s="434"/>
      <c r="H79" s="434"/>
      <c r="I79" s="434"/>
      <c r="J79" s="434"/>
      <c r="K79" s="434"/>
      <c r="L79" s="434"/>
      <c r="M79" s="434"/>
      <c r="N79" s="434"/>
      <c r="O79" s="434"/>
    </row>
    <row r="80" spans="1:15" x14ac:dyDescent="0.25">
      <c r="A80" s="434"/>
      <c r="B80" s="434"/>
      <c r="C80" s="434"/>
      <c r="D80" s="434"/>
      <c r="E80" s="434"/>
      <c r="F80" s="434"/>
      <c r="G80" s="434"/>
      <c r="H80" s="434"/>
      <c r="I80" s="434"/>
      <c r="J80" s="434"/>
      <c r="K80" s="434"/>
      <c r="L80" s="434"/>
      <c r="M80" s="434"/>
      <c r="N80" s="434"/>
      <c r="O80" s="434"/>
    </row>
    <row r="81" spans="1:15" x14ac:dyDescent="0.25">
      <c r="A81" s="434"/>
      <c r="B81" s="434"/>
      <c r="C81" s="434"/>
      <c r="D81" s="434"/>
      <c r="E81" s="434"/>
      <c r="F81" s="434"/>
      <c r="G81" s="434"/>
      <c r="H81" s="434"/>
      <c r="I81" s="434"/>
      <c r="J81" s="434"/>
      <c r="K81" s="434"/>
      <c r="L81" s="434"/>
      <c r="M81" s="434"/>
      <c r="N81" s="434"/>
      <c r="O81" s="434"/>
    </row>
    <row r="82" spans="1:15" x14ac:dyDescent="0.25">
      <c r="A82" s="434"/>
      <c r="B82" s="434"/>
      <c r="C82" s="434"/>
      <c r="D82" s="434"/>
      <c r="E82" s="434"/>
      <c r="F82" s="434"/>
      <c r="G82" s="434"/>
      <c r="H82" s="434"/>
      <c r="I82" s="434"/>
      <c r="J82" s="434"/>
      <c r="K82" s="434"/>
      <c r="L82" s="434"/>
      <c r="M82" s="434"/>
      <c r="N82" s="434"/>
      <c r="O82" s="434"/>
    </row>
    <row r="83" spans="1:15" x14ac:dyDescent="0.25">
      <c r="A83" s="434"/>
      <c r="B83" s="434"/>
      <c r="C83" s="434"/>
      <c r="D83" s="434"/>
      <c r="E83" s="434"/>
      <c r="F83" s="434"/>
      <c r="G83" s="434"/>
      <c r="H83" s="434"/>
      <c r="I83" s="434"/>
      <c r="J83" s="434"/>
      <c r="K83" s="434"/>
      <c r="L83" s="434"/>
      <c r="M83" s="434"/>
      <c r="N83" s="434"/>
      <c r="O83" s="434"/>
    </row>
    <row r="84" spans="1:15" x14ac:dyDescent="0.25">
      <c r="A84" s="434"/>
      <c r="B84" s="434"/>
      <c r="C84" s="434"/>
      <c r="D84" s="434"/>
      <c r="E84" s="434"/>
      <c r="F84" s="434"/>
      <c r="G84" s="434"/>
      <c r="H84" s="434"/>
      <c r="I84" s="434"/>
      <c r="J84" s="434"/>
      <c r="K84" s="434"/>
      <c r="L84" s="434"/>
      <c r="M84" s="434"/>
      <c r="N84" s="434"/>
      <c r="O84" s="434"/>
    </row>
    <row r="85" spans="1:15" x14ac:dyDescent="0.25">
      <c r="A85" s="434"/>
      <c r="B85" s="434"/>
      <c r="C85" s="434"/>
      <c r="D85" s="434"/>
      <c r="E85" s="434"/>
      <c r="F85" s="434"/>
      <c r="G85" s="434"/>
      <c r="H85" s="434"/>
      <c r="I85" s="434"/>
      <c r="J85" s="434"/>
      <c r="K85" s="434"/>
      <c r="L85" s="434"/>
      <c r="M85" s="434"/>
      <c r="N85" s="434"/>
      <c r="O85" s="434"/>
    </row>
    <row r="86" spans="1:15" x14ac:dyDescent="0.25">
      <c r="A86" s="434"/>
      <c r="B86" s="434"/>
      <c r="C86" s="434"/>
      <c r="D86" s="434"/>
      <c r="E86" s="434"/>
      <c r="F86" s="434"/>
      <c r="G86" s="434"/>
      <c r="H86" s="434"/>
      <c r="I86" s="434"/>
      <c r="J86" s="434"/>
      <c r="K86" s="434"/>
      <c r="L86" s="434"/>
      <c r="M86" s="434"/>
      <c r="N86" s="434"/>
      <c r="O86" s="434"/>
    </row>
    <row r="87" spans="1:15" x14ac:dyDescent="0.25">
      <c r="A87" s="434"/>
      <c r="B87" s="434"/>
      <c r="C87" s="434"/>
      <c r="D87" s="434"/>
      <c r="E87" s="434"/>
      <c r="F87" s="434"/>
      <c r="G87" s="434"/>
      <c r="H87" s="434"/>
      <c r="I87" s="434"/>
      <c r="J87" s="434"/>
      <c r="K87" s="419"/>
      <c r="L87" s="434"/>
      <c r="M87" s="434"/>
      <c r="N87" s="434"/>
      <c r="O87" s="434"/>
    </row>
    <row r="88" spans="1:15" x14ac:dyDescent="0.25">
      <c r="A88" s="434"/>
      <c r="B88" s="434"/>
      <c r="C88" s="434"/>
      <c r="D88" s="434"/>
      <c r="E88" s="434"/>
      <c r="F88" s="434"/>
      <c r="G88" s="434"/>
      <c r="H88" s="434"/>
      <c r="I88" s="434"/>
      <c r="J88" s="434"/>
      <c r="K88" s="419"/>
      <c r="L88" s="434"/>
      <c r="M88" s="434"/>
      <c r="N88" s="434"/>
      <c r="O88" s="434"/>
    </row>
    <row r="89" spans="1:15" x14ac:dyDescent="0.25">
      <c r="A89" s="434"/>
      <c r="B89" s="434"/>
      <c r="C89" s="434"/>
      <c r="D89" s="434"/>
      <c r="E89" s="434"/>
      <c r="F89" s="434"/>
      <c r="G89" s="434"/>
      <c r="H89" s="434"/>
      <c r="I89" s="434"/>
      <c r="J89" s="434"/>
      <c r="K89" s="506"/>
      <c r="L89" s="434"/>
      <c r="M89" s="434"/>
      <c r="N89" s="434"/>
      <c r="O89" s="434"/>
    </row>
    <row r="90" spans="1:15" ht="15.75" x14ac:dyDescent="0.25">
      <c r="A90" s="434"/>
      <c r="B90" s="434"/>
      <c r="C90" s="434"/>
      <c r="D90" s="434"/>
      <c r="E90" s="434"/>
      <c r="F90" s="434"/>
      <c r="G90" s="434"/>
      <c r="H90" s="434"/>
      <c r="I90" s="434"/>
      <c r="J90" s="434"/>
      <c r="K90" s="507"/>
      <c r="L90" s="434"/>
      <c r="M90" s="434"/>
      <c r="N90" s="434"/>
      <c r="O90" s="434"/>
    </row>
    <row r="91" spans="1:15" ht="15.75" x14ac:dyDescent="0.25">
      <c r="A91" s="434"/>
      <c r="B91" s="434"/>
      <c r="C91" s="434"/>
      <c r="D91" s="434"/>
      <c r="E91" s="434"/>
      <c r="F91" s="434"/>
      <c r="G91" s="434"/>
      <c r="H91" s="434"/>
      <c r="I91" s="434"/>
      <c r="J91" s="434"/>
      <c r="K91" s="507"/>
      <c r="L91" s="434"/>
      <c r="M91" s="434"/>
      <c r="N91" s="434"/>
      <c r="O91" s="434"/>
    </row>
    <row r="92" spans="1:15" ht="15.75" x14ac:dyDescent="0.25">
      <c r="A92" s="434"/>
      <c r="B92" s="434"/>
      <c r="C92" s="434"/>
      <c r="D92" s="434"/>
      <c r="E92" s="434"/>
      <c r="F92" s="434"/>
      <c r="G92" s="434"/>
      <c r="H92" s="434"/>
      <c r="I92" s="434"/>
      <c r="J92" s="434"/>
      <c r="K92" s="507"/>
      <c r="L92" s="434"/>
      <c r="M92" s="434"/>
      <c r="N92" s="434"/>
      <c r="O92" s="434"/>
    </row>
    <row r="93" spans="1:15" x14ac:dyDescent="0.25">
      <c r="A93" s="434"/>
      <c r="B93" s="434"/>
      <c r="C93" s="434"/>
      <c r="D93" s="434"/>
      <c r="E93" s="434"/>
      <c r="F93" s="434"/>
      <c r="G93" s="434"/>
      <c r="H93" s="434"/>
      <c r="I93" s="434"/>
      <c r="J93" s="434"/>
      <c r="K93" s="419"/>
      <c r="L93" s="434"/>
      <c r="M93" s="434"/>
      <c r="N93" s="434"/>
      <c r="O93" s="434"/>
    </row>
    <row r="94" spans="1:15" x14ac:dyDescent="0.25">
      <c r="A94" s="434"/>
      <c r="B94" s="434"/>
      <c r="C94" s="434"/>
      <c r="D94" s="434"/>
      <c r="E94" s="434"/>
      <c r="F94" s="434"/>
      <c r="G94" s="434"/>
      <c r="H94" s="434"/>
      <c r="I94" s="434"/>
      <c r="J94" s="434"/>
      <c r="K94" s="419"/>
      <c r="L94" s="434"/>
      <c r="M94" s="434"/>
      <c r="N94" s="434"/>
      <c r="O94" s="434"/>
    </row>
    <row r="95" spans="1:15" x14ac:dyDescent="0.25">
      <c r="A95" s="434"/>
      <c r="B95" s="434"/>
      <c r="C95" s="434"/>
      <c r="D95" s="434"/>
      <c r="E95" s="434"/>
      <c r="F95" s="434"/>
      <c r="G95" s="434"/>
      <c r="H95" s="434"/>
      <c r="I95" s="434"/>
      <c r="J95" s="434"/>
      <c r="K95" s="419"/>
      <c r="L95" s="434"/>
      <c r="M95" s="434"/>
      <c r="N95" s="434"/>
      <c r="O95" s="434"/>
    </row>
    <row r="96" spans="1:15" x14ac:dyDescent="0.25">
      <c r="A96" s="434"/>
      <c r="B96" s="434"/>
      <c r="C96" s="434"/>
      <c r="D96" s="434"/>
      <c r="E96" s="434"/>
      <c r="F96" s="434"/>
      <c r="G96" s="434"/>
      <c r="H96" s="434"/>
      <c r="I96" s="434"/>
      <c r="J96" s="434"/>
      <c r="K96" s="419"/>
      <c r="L96" s="434"/>
      <c r="M96" s="434"/>
      <c r="N96" s="434"/>
      <c r="O96" s="434"/>
    </row>
    <row r="97" spans="1:15" x14ac:dyDescent="0.25">
      <c r="A97" s="434"/>
      <c r="B97" s="434"/>
      <c r="C97" s="434"/>
      <c r="D97" s="434"/>
      <c r="E97" s="434"/>
      <c r="F97" s="434"/>
      <c r="G97" s="434"/>
      <c r="H97" s="434"/>
      <c r="I97" s="434"/>
      <c r="J97" s="434"/>
      <c r="K97" s="440"/>
      <c r="L97" s="434"/>
      <c r="M97" s="434"/>
      <c r="N97" s="434"/>
      <c r="O97" s="434"/>
    </row>
    <row r="98" spans="1:15" x14ac:dyDescent="0.25">
      <c r="A98" s="434"/>
      <c r="B98" s="434"/>
      <c r="C98" s="434"/>
      <c r="D98" s="434"/>
      <c r="E98" s="434"/>
      <c r="F98" s="434"/>
      <c r="G98" s="434"/>
      <c r="H98" s="434"/>
      <c r="I98" s="434"/>
      <c r="J98" s="434"/>
      <c r="K98" s="434"/>
      <c r="L98" s="434"/>
      <c r="M98" s="434"/>
      <c r="N98" s="434"/>
      <c r="O98" s="434"/>
    </row>
    <row r="99" spans="1:15" x14ac:dyDescent="0.25">
      <c r="A99" s="434"/>
      <c r="B99" s="434"/>
      <c r="C99" s="434"/>
      <c r="D99" s="434"/>
      <c r="E99" s="434"/>
      <c r="F99" s="434"/>
      <c r="G99" s="434"/>
      <c r="H99" s="434"/>
      <c r="I99" s="434"/>
      <c r="J99" s="434"/>
      <c r="K99" s="434"/>
      <c r="L99" s="434"/>
      <c r="M99" s="434"/>
      <c r="N99" s="434"/>
      <c r="O99" s="434"/>
    </row>
    <row r="100" spans="1:15" x14ac:dyDescent="0.25">
      <c r="A100" s="434"/>
      <c r="B100" s="434"/>
      <c r="C100" s="434"/>
      <c r="D100" s="434"/>
      <c r="E100" s="434"/>
      <c r="F100" s="434"/>
      <c r="G100" s="434"/>
      <c r="H100" s="434"/>
      <c r="I100" s="434"/>
      <c r="J100" s="434"/>
      <c r="K100" s="434"/>
      <c r="L100" s="434"/>
      <c r="M100" s="434"/>
      <c r="N100" s="434"/>
      <c r="O100" s="434"/>
    </row>
    <row r="101" spans="1:15" x14ac:dyDescent="0.25">
      <c r="A101" s="434"/>
      <c r="B101" s="434"/>
      <c r="C101" s="434"/>
      <c r="D101" s="434"/>
      <c r="E101" s="434"/>
      <c r="F101" s="434"/>
      <c r="G101" s="434"/>
      <c r="H101" s="434"/>
      <c r="I101" s="434"/>
      <c r="J101" s="434"/>
      <c r="K101" s="434"/>
      <c r="L101" s="434"/>
      <c r="M101" s="434"/>
      <c r="N101" s="434"/>
      <c r="O101" s="434"/>
    </row>
    <row r="102" spans="1:15" x14ac:dyDescent="0.25">
      <c r="A102" s="434"/>
      <c r="B102" s="434"/>
      <c r="C102" s="434"/>
      <c r="D102" s="434"/>
      <c r="E102" s="434"/>
      <c r="F102" s="434"/>
      <c r="G102" s="434"/>
      <c r="H102" s="434"/>
      <c r="I102" s="434"/>
      <c r="J102" s="434"/>
      <c r="K102" s="434"/>
      <c r="L102" s="434"/>
      <c r="M102" s="434"/>
      <c r="N102" s="434"/>
      <c r="O102" s="434"/>
    </row>
    <row r="103" spans="1:15" x14ac:dyDescent="0.25">
      <c r="A103" s="434"/>
      <c r="B103" s="434"/>
      <c r="C103" s="434"/>
      <c r="D103" s="434"/>
      <c r="E103" s="434"/>
      <c r="F103" s="434"/>
      <c r="G103" s="434"/>
      <c r="H103" s="434"/>
      <c r="I103" s="434"/>
      <c r="J103" s="434"/>
      <c r="K103" s="434"/>
      <c r="L103" s="434"/>
      <c r="M103" s="434"/>
      <c r="N103" s="434"/>
      <c r="O103" s="434"/>
    </row>
    <row r="104" spans="1:15" x14ac:dyDescent="0.25">
      <c r="A104" s="434"/>
      <c r="B104" s="434"/>
      <c r="C104" s="434"/>
      <c r="D104" s="434"/>
      <c r="E104" s="434"/>
      <c r="F104" s="434"/>
      <c r="G104" s="434"/>
      <c r="H104" s="434"/>
      <c r="I104" s="434"/>
      <c r="J104" s="434"/>
      <c r="K104" s="434"/>
      <c r="L104" s="434"/>
      <c r="M104" s="434"/>
      <c r="N104" s="434"/>
      <c r="O104" s="434"/>
    </row>
    <row r="300" spans="20:22" ht="15.75" thickBot="1" x14ac:dyDescent="0.3"/>
    <row r="301" spans="20:22" x14ac:dyDescent="0.25">
      <c r="T301" s="508" t="str">
        <f t="shared" ref="T301:T310" si="8">B36</f>
        <v>Management</v>
      </c>
      <c r="U301" s="509"/>
      <c r="V301" s="510">
        <f t="shared" ref="V301:V310" si="9">J36</f>
        <v>0.13</v>
      </c>
    </row>
    <row r="302" spans="20:22" x14ac:dyDescent="0.25">
      <c r="T302" s="511" t="str">
        <f t="shared" si="8"/>
        <v>Health &amp; Wellbeing</v>
      </c>
      <c r="U302" s="512"/>
      <c r="V302" s="513">
        <f t="shared" si="9"/>
        <v>0.16</v>
      </c>
    </row>
    <row r="303" spans="20:22" x14ac:dyDescent="0.25">
      <c r="T303" s="511" t="str">
        <f t="shared" si="8"/>
        <v>Energy</v>
      </c>
      <c r="U303" s="512"/>
      <c r="V303" s="513">
        <f t="shared" si="9"/>
        <v>0.14000000000000001</v>
      </c>
    </row>
    <row r="304" spans="20:22" x14ac:dyDescent="0.25">
      <c r="T304" s="511" t="str">
        <f t="shared" si="8"/>
        <v>Transport</v>
      </c>
      <c r="U304" s="512"/>
      <c r="V304" s="513">
        <f t="shared" si="9"/>
        <v>0.1</v>
      </c>
    </row>
    <row r="305" spans="20:22" x14ac:dyDescent="0.25">
      <c r="T305" s="511" t="str">
        <f t="shared" si="8"/>
        <v>Water</v>
      </c>
      <c r="U305" s="512"/>
      <c r="V305" s="513">
        <f t="shared" si="9"/>
        <v>0.04</v>
      </c>
    </row>
    <row r="306" spans="20:22" x14ac:dyDescent="0.25">
      <c r="T306" s="511" t="str">
        <f t="shared" si="8"/>
        <v>Materials</v>
      </c>
      <c r="U306" s="512"/>
      <c r="V306" s="513">
        <f t="shared" si="9"/>
        <v>0.17</v>
      </c>
    </row>
    <row r="307" spans="20:22" x14ac:dyDescent="0.25">
      <c r="T307" s="511" t="str">
        <f t="shared" si="8"/>
        <v>Waste</v>
      </c>
      <c r="U307" s="512"/>
      <c r="V307" s="513">
        <f t="shared" si="9"/>
        <v>7.0000000000000007E-2</v>
      </c>
    </row>
    <row r="308" spans="20:22" x14ac:dyDescent="0.25">
      <c r="T308" s="511" t="str">
        <f t="shared" si="8"/>
        <v>Land Use &amp; Ecology</v>
      </c>
      <c r="U308" s="512"/>
      <c r="V308" s="513">
        <f t="shared" si="9"/>
        <v>0.15</v>
      </c>
    </row>
    <row r="309" spans="20:22" x14ac:dyDescent="0.25">
      <c r="T309" s="511" t="str">
        <f t="shared" si="8"/>
        <v>Pollution</v>
      </c>
      <c r="U309" s="512"/>
      <c r="V309" s="513">
        <f t="shared" si="9"/>
        <v>0.04</v>
      </c>
    </row>
    <row r="310" spans="20:22" ht="15.75" thickBot="1" x14ac:dyDescent="0.3">
      <c r="T310" s="514" t="str">
        <f t="shared" si="8"/>
        <v>Innovation</v>
      </c>
      <c r="U310" s="515"/>
      <c r="V310" s="516">
        <f t="shared" si="9"/>
        <v>0.1</v>
      </c>
    </row>
  </sheetData>
  <sheetProtection algorithmName="SHA-512" hashValue="yiMULKg+XJyAeY3HmfMbSlYMJszcHKQtKuzphHstCtYcSpbBQyHyxoLRE/rf/BxQBPr9ter9Qw47T8HJ8Djczw==" saltValue="7HunDvlE5xZEsTSTVyVjWg==" spinCount="100000" sheet="1" objects="1" scenarios="1"/>
  <mergeCells count="23">
    <mergeCell ref="H8:I8"/>
    <mergeCell ref="H10:I10"/>
    <mergeCell ref="H11:I11"/>
    <mergeCell ref="H13:I13"/>
    <mergeCell ref="D8:E8"/>
    <mergeCell ref="D10:E10"/>
    <mergeCell ref="D11:E11"/>
    <mergeCell ref="D13:E13"/>
    <mergeCell ref="F8:G8"/>
    <mergeCell ref="F10:G10"/>
    <mergeCell ref="F11:G11"/>
    <mergeCell ref="F13:G13"/>
    <mergeCell ref="D12:E12"/>
    <mergeCell ref="F12:G12"/>
    <mergeCell ref="H12:I12"/>
    <mergeCell ref="D34:E34"/>
    <mergeCell ref="F34:G34"/>
    <mergeCell ref="H34:I34"/>
    <mergeCell ref="Z10:AN13"/>
    <mergeCell ref="D9:E9"/>
    <mergeCell ref="F9:G9"/>
    <mergeCell ref="H9:I9"/>
    <mergeCell ref="K34:M34"/>
  </mergeCells>
  <conditionalFormatting sqref="K35">
    <cfRule type="expression" dxfId="917" priority="142">
      <formula>$D$9=$AA$37</formula>
    </cfRule>
  </conditionalFormatting>
  <conditionalFormatting sqref="L35">
    <cfRule type="expression" dxfId="916" priority="143">
      <formula>$F$9=$AA$37</formula>
    </cfRule>
  </conditionalFormatting>
  <conditionalFormatting sqref="M35">
    <cfRule type="expression" dxfId="915" priority="144">
      <formula>$H$9=$AA$37</formula>
    </cfRule>
  </conditionalFormatting>
  <conditionalFormatting sqref="D10:E11 D13:E13 D12">
    <cfRule type="expression" dxfId="914" priority="15">
      <formula>$D$9=$AA$37</formula>
    </cfRule>
  </conditionalFormatting>
  <conditionalFormatting sqref="F10:G11 F13:G13 F12">
    <cfRule type="expression" dxfId="913" priority="14">
      <formula>$F$9=$AA$37</formula>
    </cfRule>
  </conditionalFormatting>
  <conditionalFormatting sqref="H10:I11 H13:I13 H12">
    <cfRule type="expression" dxfId="912" priority="13">
      <formula>$H$9=$AA$37</formula>
    </cfRule>
  </conditionalFormatting>
  <conditionalFormatting sqref="D34:E35">
    <cfRule type="expression" dxfId="911" priority="12">
      <formula>$D$9=AD_no</formula>
    </cfRule>
  </conditionalFormatting>
  <conditionalFormatting sqref="F34:G35">
    <cfRule type="expression" dxfId="910" priority="11">
      <formula>$F$9=AD_no</formula>
    </cfRule>
  </conditionalFormatting>
  <conditionalFormatting sqref="H34:I35">
    <cfRule type="expression" dxfId="909" priority="10">
      <formula>$H$9=AD_no</formula>
    </cfRule>
  </conditionalFormatting>
  <conditionalFormatting sqref="D36:E46">
    <cfRule type="expression" dxfId="908" priority="9">
      <formula>$D$9=AD_no</formula>
    </cfRule>
  </conditionalFormatting>
  <conditionalFormatting sqref="F36:G46">
    <cfRule type="expression" dxfId="907" priority="8">
      <formula>$F$9=AD_no</formula>
    </cfRule>
  </conditionalFormatting>
  <conditionalFormatting sqref="K36:K48">
    <cfRule type="expression" dxfId="906" priority="7">
      <formula>$D$9=AD_no</formula>
    </cfRule>
  </conditionalFormatting>
  <conditionalFormatting sqref="L36:L48">
    <cfRule type="expression" dxfId="905" priority="6">
      <formula>$F$9=AD_no</formula>
    </cfRule>
  </conditionalFormatting>
  <conditionalFormatting sqref="H36:I46">
    <cfRule type="expression" dxfId="904" priority="5">
      <formula>$H$9=AD_no</formula>
    </cfRule>
  </conditionalFormatting>
  <conditionalFormatting sqref="M36:M48">
    <cfRule type="expression" dxfId="903" priority="4">
      <formula>$H$9=AD_no</formula>
    </cfRule>
  </conditionalFormatting>
  <conditionalFormatting sqref="K49">
    <cfRule type="expression" dxfId="902" priority="3">
      <formula>$D$9=AD_no</formula>
    </cfRule>
  </conditionalFormatting>
  <conditionalFormatting sqref="L49">
    <cfRule type="expression" dxfId="901" priority="2">
      <formula>$F$9=AD_no</formula>
    </cfRule>
  </conditionalFormatting>
  <conditionalFormatting sqref="M49">
    <cfRule type="expression" dxfId="900" priority="1">
      <formula>$H$9=AD_no</formula>
    </cfRule>
  </conditionalFormatting>
  <dataValidations count="1">
    <dataValidation type="list" allowBlank="1" showInputMessage="1" showErrorMessage="1" sqref="D9 H9 F9" xr:uid="{00000000-0002-0000-0500-000000000000}">
      <formula1>$AA$36:$AA$37</formula1>
    </dataValidation>
  </dataValidations>
  <pageMargins left="0.51181102362204722" right="0.51181102362204722" top="0.35433070866141736" bottom="0.35433070866141736" header="0.31496062992125984" footer="0.31496062992125984"/>
  <pageSetup paperSize="9" scale="68" orientation="landscape" verticalDpi="598"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380"/>
  <sheetViews>
    <sheetView zoomScale="70" zoomScaleNormal="70" zoomScalePageLayoutView="30" workbookViewId="0">
      <pane ySplit="9" topLeftCell="A10" activePane="bottomLeft" state="frozen"/>
      <selection activeCell="H9" sqref="H9:I9"/>
      <selection pane="bottomLeft" activeCell="D46" sqref="D46"/>
    </sheetView>
  </sheetViews>
  <sheetFormatPr defaultColWidth="9.140625" defaultRowHeight="15" x14ac:dyDescent="0.25"/>
  <cols>
    <col min="1" max="1" width="8.85546875" style="387" hidden="1" customWidth="1"/>
    <col min="2" max="2" width="28.5703125" style="387" hidden="1" customWidth="1"/>
    <col min="3" max="3" width="2.7109375" style="387" customWidth="1"/>
    <col min="4" max="4" width="52.140625" style="8" customWidth="1"/>
    <col min="5" max="5" width="9.140625" style="387" customWidth="1"/>
    <col min="6" max="6" width="7.42578125" style="387" customWidth="1"/>
    <col min="7" max="7" width="12" style="387" customWidth="1"/>
    <col min="8" max="8" width="20" style="387" customWidth="1"/>
    <col min="9" max="9" width="8.85546875" style="387" customWidth="1"/>
    <col min="10" max="10" width="5.140625" style="387" customWidth="1"/>
    <col min="11" max="11" width="37.7109375" style="387" customWidth="1"/>
    <col min="12" max="12" width="1.7109375" style="386" customWidth="1"/>
    <col min="13" max="13" width="7.28515625" style="387" customWidth="1"/>
    <col min="14" max="14" width="11" style="387" customWidth="1"/>
    <col min="15" max="15" width="16.42578125" style="387" bestFit="1" customWidth="1"/>
    <col min="16" max="16" width="7.7109375" style="387" customWidth="1"/>
    <col min="17" max="17" width="16.7109375" style="387" customWidth="1"/>
    <col min="18" max="18" width="25.5703125" style="387" customWidth="1"/>
    <col min="19" max="19" width="1.7109375" style="386" customWidth="1"/>
    <col min="20" max="20" width="7" style="387" customWidth="1"/>
    <col min="21" max="21" width="9.7109375" style="387" customWidth="1"/>
    <col min="22" max="22" width="20.28515625" style="387" bestFit="1" customWidth="1"/>
    <col min="23" max="23" width="7.7109375" style="387" customWidth="1"/>
    <col min="24" max="24" width="11.7109375" style="387" customWidth="1"/>
    <col min="25" max="25" width="28.85546875" style="387" customWidth="1"/>
    <col min="26" max="26" width="1.28515625" style="387" hidden="1" customWidth="1"/>
    <col min="27" max="27" width="21.140625" style="386" hidden="1" customWidth="1"/>
    <col min="28" max="30" width="1.7109375" style="386" hidden="1" customWidth="1"/>
    <col min="31" max="31" width="6.42578125" style="386" hidden="1" customWidth="1"/>
    <col min="32" max="32" width="15.7109375" style="387" hidden="1" customWidth="1"/>
    <col min="33" max="36" width="9.140625" style="387" hidden="1" customWidth="1"/>
    <col min="37" max="38" width="9.140625" style="387" customWidth="1"/>
    <col min="39" max="39" width="11.85546875" style="387" customWidth="1"/>
    <col min="40" max="40" width="2" style="387" customWidth="1"/>
    <col min="41" max="80" width="9.140625" style="387" customWidth="1"/>
    <col min="81" max="16384" width="9.140625" style="387"/>
  </cols>
  <sheetData>
    <row r="1" spans="1:52" ht="56.25" x14ac:dyDescent="0.25">
      <c r="A1" s="384"/>
      <c r="B1" s="384"/>
      <c r="C1" s="384"/>
      <c r="D1" s="1232" t="s">
        <v>973</v>
      </c>
      <c r="E1" s="517"/>
      <c r="F1" s="517"/>
      <c r="G1" s="517"/>
      <c r="H1" s="517"/>
      <c r="I1" s="517"/>
      <c r="J1" s="517"/>
      <c r="K1" s="518" t="s">
        <v>334</v>
      </c>
      <c r="L1" s="517"/>
      <c r="M1" s="517"/>
      <c r="N1" s="517"/>
      <c r="O1" s="517"/>
      <c r="P1" s="517"/>
      <c r="Q1" s="517"/>
      <c r="R1" s="517"/>
      <c r="S1" s="517"/>
      <c r="T1" s="517"/>
      <c r="U1" s="517"/>
      <c r="V1" s="517"/>
      <c r="W1" s="517"/>
      <c r="X1" s="517"/>
      <c r="Y1" s="641" t="str">
        <f>IF('Manuell filtrering og justering'!I2='Manuell filtrering og justering'!J2,"Bespoke","")</f>
        <v/>
      </c>
      <c r="Z1" s="641"/>
      <c r="AA1" s="385"/>
      <c r="AB1" s="364"/>
      <c r="AC1" s="364"/>
      <c r="AD1" s="364"/>
    </row>
    <row r="2" spans="1:52" s="388" customFormat="1" ht="15.75" x14ac:dyDescent="0.25">
      <c r="D2" s="1244">
        <v>5</v>
      </c>
      <c r="E2" s="415">
        <v>6</v>
      </c>
      <c r="F2" s="415">
        <v>7</v>
      </c>
      <c r="G2" s="415">
        <v>8</v>
      </c>
      <c r="H2" s="415">
        <v>9</v>
      </c>
      <c r="I2" s="415">
        <v>10</v>
      </c>
      <c r="J2" s="415">
        <v>11</v>
      </c>
      <c r="K2" s="415">
        <v>12</v>
      </c>
      <c r="L2" s="415"/>
      <c r="M2" s="415">
        <v>14</v>
      </c>
      <c r="N2" s="415">
        <v>15</v>
      </c>
      <c r="O2" s="415">
        <v>16</v>
      </c>
      <c r="P2" s="415">
        <v>17</v>
      </c>
      <c r="Q2" s="415">
        <v>18</v>
      </c>
      <c r="R2" s="415">
        <v>19</v>
      </c>
      <c r="S2" s="415">
        <v>20</v>
      </c>
      <c r="T2" s="415">
        <v>21</v>
      </c>
      <c r="U2" s="415">
        <v>22</v>
      </c>
      <c r="V2" s="415">
        <v>23</v>
      </c>
      <c r="W2" s="415">
        <v>25</v>
      </c>
      <c r="X2" s="415">
        <v>25</v>
      </c>
      <c r="Y2" s="415">
        <v>26</v>
      </c>
      <c r="Z2" s="415"/>
      <c r="AA2" s="273">
        <v>24</v>
      </c>
      <c r="AB2" s="273"/>
      <c r="AC2" s="273"/>
      <c r="AD2" s="273"/>
      <c r="AE2" s="389"/>
      <c r="AF2" s="273"/>
      <c r="AG2" s="390"/>
      <c r="AH2" s="390"/>
      <c r="AI2" s="390"/>
    </row>
    <row r="3" spans="1:52" ht="26.25" x14ac:dyDescent="0.4">
      <c r="A3" s="95"/>
      <c r="B3" s="95"/>
      <c r="C3" s="95"/>
      <c r="D3" s="1233"/>
      <c r="E3" s="391"/>
      <c r="F3" s="371" t="s">
        <v>218</v>
      </c>
      <c r="G3" s="392"/>
      <c r="H3" s="392"/>
      <c r="I3" s="392"/>
      <c r="J3" s="393"/>
      <c r="K3" s="394"/>
      <c r="L3" s="395"/>
      <c r="M3" s="371" t="s">
        <v>223</v>
      </c>
      <c r="N3" s="371"/>
      <c r="O3" s="371"/>
      <c r="P3" s="392"/>
      <c r="Q3" s="392"/>
      <c r="R3" s="392"/>
      <c r="S3" s="395"/>
      <c r="T3" s="371" t="s">
        <v>224</v>
      </c>
      <c r="U3" s="371"/>
      <c r="V3" s="371"/>
      <c r="W3" s="392"/>
      <c r="X3" s="392"/>
      <c r="Y3" s="396"/>
      <c r="Z3" s="396"/>
      <c r="AA3" s="696" t="s">
        <v>426</v>
      </c>
      <c r="AB3" s="397"/>
      <c r="AC3" s="397"/>
      <c r="AD3" s="397"/>
      <c r="AF3" s="398"/>
      <c r="AG3" s="398"/>
      <c r="AH3" s="398"/>
    </row>
    <row r="4" spans="1:52" s="401" customFormat="1" x14ac:dyDescent="0.25">
      <c r="A4" s="95"/>
      <c r="B4" s="95"/>
      <c r="C4" s="95"/>
      <c r="D4" s="1234" t="s">
        <v>395</v>
      </c>
      <c r="E4" s="399"/>
      <c r="F4" s="373" t="s">
        <v>315</v>
      </c>
      <c r="G4" s="374"/>
      <c r="H4" s="375"/>
      <c r="I4" s="376" t="str">
        <f>'Pre-Assessment Estimator'!L4</f>
        <v>Unclassified</v>
      </c>
      <c r="J4" s="377"/>
      <c r="K4" s="381" t="s">
        <v>299</v>
      </c>
      <c r="L4" s="400"/>
      <c r="M4" s="373" t="s">
        <v>315</v>
      </c>
      <c r="N4" s="374"/>
      <c r="O4" s="374"/>
      <c r="P4" s="374"/>
      <c r="Q4" s="374"/>
      <c r="R4" s="377" t="str">
        <f>'Pre-Assessment Estimator'!S4</f>
        <v/>
      </c>
      <c r="S4" s="400"/>
      <c r="T4" s="373" t="s">
        <v>315</v>
      </c>
      <c r="U4" s="374"/>
      <c r="V4" s="374"/>
      <c r="W4" s="374"/>
      <c r="X4" s="374"/>
      <c r="Y4" s="372" t="str">
        <f>'Pre-Assessment Estimator'!Z4</f>
        <v/>
      </c>
      <c r="Z4" s="698"/>
      <c r="AA4" s="701" t="str">
        <f>IF('Pre-Assessment Estimator'!AJ4=ais_yes,"Option 2: 50% of","")</f>
        <v/>
      </c>
      <c r="AE4" s="386"/>
      <c r="AF4" s="402"/>
      <c r="AG4" s="402"/>
      <c r="AH4" s="402"/>
      <c r="AI4" s="402"/>
      <c r="AR4" s="403"/>
    </row>
    <row r="5" spans="1:52" s="401" customFormat="1" x14ac:dyDescent="0.25">
      <c r="A5" s="95"/>
      <c r="B5" s="95"/>
      <c r="C5" s="95"/>
      <c r="D5" s="1235" t="str">
        <f>'Pre-Assessment Estimator'!E5</f>
        <v/>
      </c>
      <c r="E5" s="399"/>
      <c r="F5" s="373" t="s">
        <v>87</v>
      </c>
      <c r="G5" s="374"/>
      <c r="H5" s="375"/>
      <c r="I5" s="378">
        <f>'Pre-Assessment Estimator'!L5</f>
        <v>0</v>
      </c>
      <c r="J5" s="379"/>
      <c r="K5" s="381" t="s">
        <v>300</v>
      </c>
      <c r="L5" s="400"/>
      <c r="M5" s="373" t="s">
        <v>87</v>
      </c>
      <c r="N5" s="374"/>
      <c r="O5" s="374"/>
      <c r="P5" s="374"/>
      <c r="Q5" s="374"/>
      <c r="R5" s="377" t="str">
        <f>'Pre-Assessment Estimator'!S5</f>
        <v/>
      </c>
      <c r="S5" s="400"/>
      <c r="T5" s="373" t="s">
        <v>87</v>
      </c>
      <c r="U5" s="374"/>
      <c r="V5" s="374"/>
      <c r="W5" s="374"/>
      <c r="X5" s="374"/>
      <c r="Y5" s="372" t="str">
        <f>'Pre-Assessment Estimator'!Z5</f>
        <v/>
      </c>
      <c r="Z5" s="699"/>
      <c r="AA5" s="701" t="str">
        <f>IF('Pre-Assessment Estimator'!AJ4=ais_yes,"achieved credit is","")</f>
        <v/>
      </c>
      <c r="AE5" s="386"/>
      <c r="AF5" s="404"/>
      <c r="AG5" s="404"/>
      <c r="AH5" s="404"/>
      <c r="AI5" s="404"/>
    </row>
    <row r="6" spans="1:52" s="401" customFormat="1" x14ac:dyDescent="0.25">
      <c r="A6" s="95"/>
      <c r="B6" s="95"/>
      <c r="C6" s="95"/>
      <c r="D6" s="1236" t="str">
        <f>'Pre-Assessment Estimator'!E6</f>
        <v>Pre-Assessment Estimator Version: 1.2</v>
      </c>
      <c r="E6" s="399"/>
      <c r="F6" s="373" t="s">
        <v>82</v>
      </c>
      <c r="G6" s="374"/>
      <c r="H6" s="375"/>
      <c r="I6" s="378" t="str">
        <f>'Pre-Assessment Estimator'!L6</f>
        <v>Unclassified</v>
      </c>
      <c r="J6" s="379"/>
      <c r="K6" s="381" t="s">
        <v>301</v>
      </c>
      <c r="L6" s="400"/>
      <c r="M6" s="373" t="s">
        <v>82</v>
      </c>
      <c r="N6" s="374"/>
      <c r="O6" s="374"/>
      <c r="P6" s="374"/>
      <c r="Q6" s="374"/>
      <c r="R6" s="377" t="str">
        <f>'Pre-Assessment Estimator'!S6</f>
        <v/>
      </c>
      <c r="S6" s="400"/>
      <c r="T6" s="373" t="s">
        <v>82</v>
      </c>
      <c r="U6" s="374"/>
      <c r="V6" s="374"/>
      <c r="W6" s="374"/>
      <c r="X6" s="374"/>
      <c r="Y6" s="372" t="str">
        <f>'Pre-Assessment Estimator'!Z6</f>
        <v/>
      </c>
      <c r="Z6" s="699"/>
      <c r="AA6" s="701"/>
      <c r="AE6" s="386"/>
      <c r="AF6" s="404"/>
      <c r="AG6" s="404"/>
      <c r="AH6" s="404"/>
      <c r="AI6" s="404"/>
    </row>
    <row r="7" spans="1:52" s="401" customFormat="1" x14ac:dyDescent="0.25">
      <c r="A7" s="95"/>
      <c r="B7" s="95"/>
      <c r="C7" s="95"/>
      <c r="D7" s="1236" t="str">
        <f>'Pre-Assessment Estimator'!E7</f>
        <v>New Construction (fully fitted)</v>
      </c>
      <c r="E7" s="399"/>
      <c r="F7" s="373" t="s">
        <v>983</v>
      </c>
      <c r="G7" s="374"/>
      <c r="H7" s="375"/>
      <c r="I7" s="378" t="str">
        <f>'Pre-Assessment Estimator'!L7</f>
        <v>No</v>
      </c>
      <c r="J7" s="380"/>
      <c r="K7" s="381"/>
      <c r="L7" s="400"/>
      <c r="M7" s="373" t="s">
        <v>983</v>
      </c>
      <c r="N7" s="374"/>
      <c r="O7" s="374"/>
      <c r="P7" s="374"/>
      <c r="Q7" s="374"/>
      <c r="R7" s="377" t="str">
        <f>'Pre-Assessment Estimator'!S7</f>
        <v/>
      </c>
      <c r="S7" s="400"/>
      <c r="T7" s="373" t="s">
        <v>983</v>
      </c>
      <c r="U7" s="374"/>
      <c r="V7" s="374"/>
      <c r="W7" s="374"/>
      <c r="X7" s="374"/>
      <c r="Y7" s="372" t="str">
        <f>'Pre-Assessment Estimator'!Z7</f>
        <v/>
      </c>
      <c r="Z7" s="700"/>
      <c r="AA7" s="702" t="str">
        <f>IF('Pre-Assessment Estimator'!AJ4=ais_yes,"subtracted from score.","")</f>
        <v/>
      </c>
      <c r="AE7" s="386"/>
      <c r="AF7" s="404"/>
      <c r="AG7" s="404"/>
      <c r="AH7" s="404"/>
      <c r="AI7" s="404"/>
    </row>
    <row r="8" spans="1:52" s="401" customFormat="1" x14ac:dyDescent="0.25">
      <c r="D8" s="1237" t="str">
        <f>'Pre-Assessment Estimator'!E8</f>
        <v/>
      </c>
      <c r="E8" s="406"/>
      <c r="F8" s="407"/>
      <c r="G8" s="406"/>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c r="AI8" s="408"/>
    </row>
    <row r="9" spans="1:52" ht="45" x14ac:dyDescent="0.3">
      <c r="A9" s="409" t="s">
        <v>220</v>
      </c>
      <c r="B9" s="409" t="s">
        <v>221</v>
      </c>
      <c r="C9" s="409"/>
      <c r="D9" s="1238" t="s">
        <v>1030</v>
      </c>
      <c r="E9" s="1221" t="s">
        <v>103</v>
      </c>
      <c r="F9" s="574" t="s">
        <v>45</v>
      </c>
      <c r="G9" s="1222" t="s">
        <v>104</v>
      </c>
      <c r="H9" s="1223" t="s">
        <v>51</v>
      </c>
      <c r="I9" s="1224" t="s">
        <v>302</v>
      </c>
      <c r="J9" s="1225" t="s">
        <v>262</v>
      </c>
      <c r="K9" s="1226" t="s">
        <v>225</v>
      </c>
      <c r="L9" s="1227"/>
      <c r="M9" s="575" t="s">
        <v>45</v>
      </c>
      <c r="N9" s="575" t="s">
        <v>830</v>
      </c>
      <c r="O9" s="575" t="s">
        <v>51</v>
      </c>
      <c r="P9" s="1228" t="s">
        <v>302</v>
      </c>
      <c r="Q9" s="1228" t="s">
        <v>262</v>
      </c>
      <c r="R9" s="1229" t="s">
        <v>263</v>
      </c>
      <c r="S9" s="1230"/>
      <c r="T9" s="575" t="s">
        <v>45</v>
      </c>
      <c r="U9" s="575" t="s">
        <v>830</v>
      </c>
      <c r="V9" s="575" t="s">
        <v>51</v>
      </c>
      <c r="W9" s="1228" t="s">
        <v>302</v>
      </c>
      <c r="X9" s="1228" t="s">
        <v>262</v>
      </c>
      <c r="Y9" s="1231" t="s">
        <v>263</v>
      </c>
      <c r="Z9" s="703"/>
      <c r="AA9" s="697" t="str">
        <f>IF('Pre-Assessment Estimator'!AJ4=ais_yes,"Compliance?","")</f>
        <v/>
      </c>
      <c r="AF9" s="72" t="s">
        <v>259</v>
      </c>
      <c r="AG9" s="71" t="s">
        <v>260</v>
      </c>
      <c r="AH9" s="71" t="s">
        <v>261</v>
      </c>
      <c r="AV9" s="410"/>
      <c r="AZ9" s="405"/>
    </row>
    <row r="10" spans="1:52" ht="18.75" x14ac:dyDescent="0.25">
      <c r="A10" s="836">
        <v>1</v>
      </c>
      <c r="B10" s="836" t="s">
        <v>64</v>
      </c>
      <c r="C10" s="836"/>
      <c r="D10" s="576" t="s">
        <v>64</v>
      </c>
      <c r="E10" s="577"/>
      <c r="F10" s="577"/>
      <c r="G10" s="577"/>
      <c r="H10" s="577"/>
      <c r="I10" s="578"/>
      <c r="J10" s="577"/>
      <c r="K10" s="578"/>
      <c r="L10" s="579"/>
      <c r="M10" s="577"/>
      <c r="N10" s="577"/>
      <c r="O10" s="577"/>
      <c r="P10" s="578"/>
      <c r="Q10" s="577"/>
      <c r="R10" s="578"/>
      <c r="S10" s="580"/>
      <c r="T10" s="577"/>
      <c r="U10" s="577"/>
      <c r="V10" s="577"/>
      <c r="W10" s="578"/>
      <c r="X10" s="577"/>
      <c r="Y10" s="411"/>
      <c r="Z10" s="704"/>
      <c r="AA10" s="708"/>
      <c r="AE10" s="386">
        <f>IF(E2="",1,IF(E2=0,2,1))</f>
        <v>1</v>
      </c>
      <c r="AF10" s="275">
        <v>0</v>
      </c>
      <c r="AG10" s="275">
        <v>0</v>
      </c>
      <c r="AH10" s="275">
        <v>0</v>
      </c>
      <c r="AX10" s="412"/>
    </row>
    <row r="11" spans="1:52" x14ac:dyDescent="0.25">
      <c r="A11" s="836">
        <v>2</v>
      </c>
      <c r="B11" s="1262" t="s">
        <v>64</v>
      </c>
      <c r="C11" s="1262"/>
      <c r="D11" s="993" t="str">
        <f>VLOOKUP($A11,'Pre-Assessment Estimator'!$A$10:$Z$224,D$2,FALSE)</f>
        <v>Man 01 Project brief and design</v>
      </c>
      <c r="E11" s="581">
        <f>VLOOKUP($A11,'Pre-Assessment Estimator'!$A$10:$Z$224,E$2,FALSE)</f>
        <v>5</v>
      </c>
      <c r="F11" s="587" t="str">
        <f>IF(VLOOKUP($A11,'Pre-Assessment Estimator'!$A$10:$Z$224,F$2,FALSE)=0,"",VLOOKUP($A11,'Pre-Assessment Estimator'!$A$10:$Z$224,F$2,FALSE))</f>
        <v/>
      </c>
      <c r="G11" s="1239" t="str">
        <f>VLOOKUP($A11,'Pre-Assessment Estimator'!$A$10:$Z$224,G$2,FALSE)</f>
        <v>0 c. 0 %</v>
      </c>
      <c r="H11" s="583" t="str">
        <f>VLOOKUP($A11,'Pre-Assessment Estimator'!$A$10:$Z$224,H$2,FALSE)</f>
        <v>N/A</v>
      </c>
      <c r="I11" s="584" t="str">
        <f>IF(VLOOKUP($A11,'Pre-Assessment Estimator'!$A$10:$Z$224,I$2,FALSE)=0,"",VLOOKUP($A11,'Pre-Assessment Estimator'!$A$10:$Z$224,I$2,FALSE))</f>
        <v/>
      </c>
      <c r="J11" s="584" t="str">
        <f>IF(VLOOKUP($A11,'Pre-Assessment Estimator'!$A$10:$Z$224,J$2,FALSE)=0,"",VLOOKUP($A11,'Pre-Assessment Estimator'!$A$10:$Z$224,J$2,FALSE))</f>
        <v/>
      </c>
      <c r="K11" s="585" t="str">
        <f>IF(VLOOKUP($A11,'Pre-Assessment Estimator'!$A$10:$Z$224,K$2,FALSE)=0,"",VLOOKUP($A11,'Pre-Assessment Estimator'!$A$10:$Z$224,K$2,FALSE))</f>
        <v/>
      </c>
      <c r="L11" s="586"/>
      <c r="M11" s="587" t="str">
        <f>IF(VLOOKUP($A11,'Pre-Assessment Estimator'!$A$10:$Z$224,M$2,FALSE)=0,"",VLOOKUP($A11,'Pre-Assessment Estimator'!$A$10:$Z$224,M$2,FALSE))</f>
        <v/>
      </c>
      <c r="N11" s="582" t="str">
        <f>VLOOKUP($A11,'Pre-Assessment Estimator'!$A$10:$Z$224,N$2,FALSE)</f>
        <v>0 c. 0 %</v>
      </c>
      <c r="O11" s="581" t="str">
        <f>VLOOKUP($A11,'Pre-Assessment Estimator'!$A$10:$Z$224,O$2,FALSE)</f>
        <v>N/A</v>
      </c>
      <c r="P11" s="584" t="str">
        <f>IF(VLOOKUP($A11,'Pre-Assessment Estimator'!$A$10:$Z$224,P$2,FALSE)=0,"",VLOOKUP($A11,'Pre-Assessment Estimator'!$A$10:$Z$224,P$2,FALSE))</f>
        <v/>
      </c>
      <c r="Q11" s="584" t="str">
        <f>IF(VLOOKUP($A11,'Pre-Assessment Estimator'!$A$10:$Z$224,Q$2,FALSE)=0,"",VLOOKUP($A11,'Pre-Assessment Estimator'!$A$10:$Z$224,Q$2,FALSE))</f>
        <v/>
      </c>
      <c r="R11" s="585" t="str">
        <f>IF(VLOOKUP($A11,'Pre-Assessment Estimator'!$A$10:$Z$224,R$2,FALSE)=0,"",VLOOKUP($A11,'Pre-Assessment Estimator'!$A$10:$Z$224,R$2,FALSE))</f>
        <v/>
      </c>
      <c r="S11" s="588"/>
      <c r="T11" s="587" t="str">
        <f>IF(VLOOKUP($A11,'Pre-Assessment Estimator'!$A$10:$Z$224,T$2,FALSE)=0,"",VLOOKUP($A11,'Pre-Assessment Estimator'!$A$10:$Z$224,T$2,FALSE))</f>
        <v/>
      </c>
      <c r="U11" s="582" t="str">
        <f>VLOOKUP($A11,'Pre-Assessment Estimator'!$A$10:$Z$224,U$2,FALSE)</f>
        <v>0 c. 0 %</v>
      </c>
      <c r="V11" s="581" t="str">
        <f>VLOOKUP($A11,'Pre-Assessment Estimator'!$A$10:$Z$224,V$2,FALSE)</f>
        <v>N/A</v>
      </c>
      <c r="W11" s="584" t="str">
        <f>IF(VLOOKUP($A11,'Pre-Assessment Estimator'!$A$10:$Z$224,W$2,FALSE)=0,"",VLOOKUP($A11,'Pre-Assessment Estimator'!$A$10:$Z$224,W$2,FALSE))</f>
        <v/>
      </c>
      <c r="X11" s="584" t="str">
        <f>IF(VLOOKUP($A11,'Pre-Assessment Estimator'!$A$10:$Z$224,X$2,FALSE)=0,"",VLOOKUP($A11,'Pre-Assessment Estimator'!$A$10:$Z$224,X$2,FALSE))</f>
        <v/>
      </c>
      <c r="Y11" s="370" t="str">
        <f>IF(VLOOKUP($A11,'Pre-Assessment Estimator'!$A$10:$Z$224,Y$2,FALSE)=0,"",VLOOKUP($A11,'Pre-Assessment Estimator'!$A$10:$Z$224,Y$2,FALSE))</f>
        <v/>
      </c>
      <c r="Z11" s="705"/>
      <c r="AA11" s="584" t="str">
        <f>IF(VLOOKUP($A11,'Pre-Assessment Estimator'!$A$10:$AB$224,AA$2,FALSE)=0,"",VLOOKUP($A11,'Pre-Assessment Estimator'!$A$10:$AB$224,AA$2,FALSE))</f>
        <v/>
      </c>
      <c r="AE11" s="386">
        <f>IF(E11="",1,IF(E11=0,2,1))</f>
        <v>1</v>
      </c>
      <c r="AF11" s="95" t="e">
        <f>VLOOKUP(J11,'Assessment Details'!$O$45:$P$48,2,FALSE)</f>
        <v>#N/A</v>
      </c>
      <c r="AG11" s="95" t="e">
        <f>VLOOKUP(Q11,'Assessment Details'!$O$45:$P$48,2,FALSE)</f>
        <v>#N/A</v>
      </c>
      <c r="AH11" s="95" t="e">
        <f>VLOOKUP(X11,'Assessment Details'!$O$45:$P$48,2,FALSE)</f>
        <v>#N/A</v>
      </c>
    </row>
    <row r="12" spans="1:52" x14ac:dyDescent="0.25">
      <c r="A12" s="836">
        <v>3</v>
      </c>
      <c r="B12" s="1262" t="s">
        <v>64</v>
      </c>
      <c r="C12" s="1262"/>
      <c r="D12" s="340" t="str">
        <f>VLOOKUP($A12,'Pre-Assessment Estimator'!$A$10:$Z$224,D$2,FALSE)</f>
        <v>Planning project delivery</v>
      </c>
      <c r="E12" s="581">
        <f>VLOOKUP($A12,'Pre-Assessment Estimator'!$A$10:$Z$224,E$2,FALSE)</f>
        <v>1</v>
      </c>
      <c r="F12" s="587" t="str">
        <f>IF(VLOOKUP($A12,'Pre-Assessment Estimator'!$A$10:$Z$224,F$2,FALSE)=0,"",VLOOKUP($A12,'Pre-Assessment Estimator'!$A$10:$Z$224,F$2,FALSE))</f>
        <v/>
      </c>
      <c r="G12" s="582">
        <f>VLOOKUP($A12,'Pre-Assessment Estimator'!$A$10:$Z$224,G$2,FALSE)</f>
        <v>0</v>
      </c>
      <c r="H12" s="581" t="str">
        <f>VLOOKUP($A12,'Pre-Assessment Estimator'!$A$10:$Z$224,H$2,FALSE)</f>
        <v>Very Good</v>
      </c>
      <c r="I12" s="584" t="str">
        <f>IF(VLOOKUP($A12,'Pre-Assessment Estimator'!$A$10:$Z$224,I$2,FALSE)=0,"",VLOOKUP($A12,'Pre-Assessment Estimator'!$A$10:$Z$224,I$2,FALSE))</f>
        <v/>
      </c>
      <c r="J12" s="584" t="str">
        <f>IF(VLOOKUP($A12,'Pre-Assessment Estimator'!$A$10:$Z$224,J$2,FALSE)=0,"",VLOOKUP($A12,'Pre-Assessment Estimator'!$A$10:$Z$224,J$2,FALSE))</f>
        <v/>
      </c>
      <c r="K12" s="585" t="str">
        <f>IF(VLOOKUP($A12,'Pre-Assessment Estimator'!$A$10:$Z$224,K$2,FALSE)=0,"",VLOOKUP($A12,'Pre-Assessment Estimator'!$A$10:$Z$224,K$2,FALSE))</f>
        <v/>
      </c>
      <c r="L12" s="586"/>
      <c r="M12" s="587" t="str">
        <f>IF(VLOOKUP($A12,'Pre-Assessment Estimator'!$A$10:$Z$224,M$2,FALSE)=0,"",VLOOKUP($A12,'Pre-Assessment Estimator'!$A$10:$Z$224,M$2,FALSE))</f>
        <v/>
      </c>
      <c r="N12" s="582">
        <f>VLOOKUP($A12,'Pre-Assessment Estimator'!$A$10:$Z$224,N$2,FALSE)</f>
        <v>0</v>
      </c>
      <c r="O12" s="581" t="str">
        <f>VLOOKUP($A12,'Pre-Assessment Estimator'!$A$10:$Z$224,O$2,FALSE)</f>
        <v>Very Good</v>
      </c>
      <c r="P12" s="584" t="str">
        <f>IF(VLOOKUP($A12,'Pre-Assessment Estimator'!$A$10:$Z$224,P$2,FALSE)=0,"",VLOOKUP($A12,'Pre-Assessment Estimator'!$A$10:$Z$224,P$2,FALSE))</f>
        <v/>
      </c>
      <c r="Q12" s="584" t="str">
        <f>IF(VLOOKUP($A12,'Pre-Assessment Estimator'!$A$10:$Z$224,Q$2,FALSE)=0,"",VLOOKUP($A12,'Pre-Assessment Estimator'!$A$10:$Z$224,Q$2,FALSE))</f>
        <v/>
      </c>
      <c r="R12" s="585" t="str">
        <f>IF(VLOOKUP($A12,'Pre-Assessment Estimator'!$A$10:$Z$224,R$2,FALSE)=0,"",VLOOKUP($A12,'Pre-Assessment Estimator'!$A$10:$Z$224,R$2,FALSE))</f>
        <v/>
      </c>
      <c r="S12" s="588"/>
      <c r="T12" s="587" t="str">
        <f>IF(VLOOKUP($A12,'Pre-Assessment Estimator'!$A$10:$Z$224,T$2,FALSE)=0,"",VLOOKUP($A12,'Pre-Assessment Estimator'!$A$10:$Z$224,T$2,FALSE))</f>
        <v/>
      </c>
      <c r="U12" s="582">
        <f>VLOOKUP($A12,'Pre-Assessment Estimator'!$A$10:$Z$224,U$2,FALSE)</f>
        <v>0</v>
      </c>
      <c r="V12" s="581" t="str">
        <f>VLOOKUP($A12,'Pre-Assessment Estimator'!$A$10:$Z$224,V$2,FALSE)</f>
        <v>Very Good</v>
      </c>
      <c r="W12" s="584" t="str">
        <f>IF(VLOOKUP($A12,'Pre-Assessment Estimator'!$A$10:$Z$224,W$2,FALSE)=0,"",VLOOKUP($A12,'Pre-Assessment Estimator'!$A$10:$Z$224,W$2,FALSE))</f>
        <v/>
      </c>
      <c r="X12" s="584" t="str">
        <f>IF(VLOOKUP($A12,'Pre-Assessment Estimator'!$A$10:$Z$224,X$2,FALSE)=0,"",VLOOKUP($A12,'Pre-Assessment Estimator'!$A$10:$Z$224,X$2,FALSE))</f>
        <v/>
      </c>
      <c r="Y12" s="370" t="str">
        <f>IF(VLOOKUP($A12,'Pre-Assessment Estimator'!$A$10:$Z$224,Y$2,FALSE)=0,"",VLOOKUP($A12,'Pre-Assessment Estimator'!$A$10:$Z$224,Y$2,FALSE))</f>
        <v/>
      </c>
      <c r="Z12" s="705"/>
      <c r="AA12" s="584" t="str">
        <f>IF(VLOOKUP($A12,'Pre-Assessment Estimator'!$A$10:$AB$224,AA$2,FALSE)=0,"",VLOOKUP($A12,'Pre-Assessment Estimator'!$A$10:$AB$224,AA$2,FALSE))</f>
        <v/>
      </c>
      <c r="AE12" s="386">
        <f>IF(E12="",1,IF(E12=0,2,1))</f>
        <v>1</v>
      </c>
      <c r="AF12" s="95" t="e">
        <f>VLOOKUP(J12,'Assessment Details'!$O$45:$P$48,2,FALSE)</f>
        <v>#N/A</v>
      </c>
      <c r="AG12" s="95" t="e">
        <f>VLOOKUP(Q12,'Assessment Details'!$O$45:$P$48,2,FALSE)</f>
        <v>#N/A</v>
      </c>
      <c r="AH12" s="95" t="e">
        <f>VLOOKUP(X12,'Assessment Details'!$O$45:$P$48,2,FALSE)</f>
        <v>#N/A</v>
      </c>
      <c r="AN12" s="413"/>
    </row>
    <row r="13" spans="1:52" x14ac:dyDescent="0.25">
      <c r="A13" s="836">
        <v>4</v>
      </c>
      <c r="B13" s="1262" t="s">
        <v>64</v>
      </c>
      <c r="C13" s="1262"/>
      <c r="D13" s="340" t="str">
        <f>VLOOKUP($A13,'Pre-Assessment Estimator'!$A$10:$Z$224,D$2,FALSE)</f>
        <v xml:space="preserve">Climate gas calculation for whole building life cycle </v>
      </c>
      <c r="E13" s="581">
        <f>VLOOKUP($A13,'Pre-Assessment Estimator'!$A$10:$Z$224,E$2,FALSE)</f>
        <v>1</v>
      </c>
      <c r="F13" s="587" t="str">
        <f>IF(VLOOKUP($A13,'Pre-Assessment Estimator'!$A$10:$Z$224,F$2,FALSE)=0,"",VLOOKUP($A13,'Pre-Assessment Estimator'!$A$10:$Z$224,F$2,FALSE))</f>
        <v/>
      </c>
      <c r="G13" s="582">
        <f>VLOOKUP($A13,'Pre-Assessment Estimator'!$A$10:$Z$224,G$2,FALSE)</f>
        <v>0</v>
      </c>
      <c r="H13" s="581" t="str">
        <f>VLOOKUP($A13,'Pre-Assessment Estimator'!$A$10:$Z$224,H$2,FALSE)</f>
        <v>Very Good</v>
      </c>
      <c r="I13" s="584" t="str">
        <f>IF(VLOOKUP($A13,'Pre-Assessment Estimator'!$A$10:$Z$224,I$2,FALSE)=0,"",VLOOKUP($A13,'Pre-Assessment Estimator'!$A$10:$Z$224,I$2,FALSE))</f>
        <v/>
      </c>
      <c r="J13" s="584" t="str">
        <f>IF(VLOOKUP($A13,'Pre-Assessment Estimator'!$A$10:$Z$224,J$2,FALSE)=0,"",VLOOKUP($A13,'Pre-Assessment Estimator'!$A$10:$Z$224,J$2,FALSE))</f>
        <v/>
      </c>
      <c r="K13" s="585" t="str">
        <f>IF(VLOOKUP($A13,'Pre-Assessment Estimator'!$A$10:$Z$224,K$2,FALSE)=0,"",VLOOKUP($A13,'Pre-Assessment Estimator'!$A$10:$Z$224,K$2,FALSE))</f>
        <v/>
      </c>
      <c r="L13" s="586"/>
      <c r="M13" s="587" t="str">
        <f>IF(VLOOKUP($A13,'Pre-Assessment Estimator'!$A$10:$Z$224,M$2,FALSE)=0,"",VLOOKUP($A13,'Pre-Assessment Estimator'!$A$10:$Z$224,M$2,FALSE))</f>
        <v/>
      </c>
      <c r="N13" s="582">
        <f>VLOOKUP($A13,'Pre-Assessment Estimator'!$A$10:$Z$224,N$2,FALSE)</f>
        <v>0</v>
      </c>
      <c r="O13" s="581" t="str">
        <f>VLOOKUP($A13,'Pre-Assessment Estimator'!$A$10:$Z$224,O$2,FALSE)</f>
        <v>Very Good</v>
      </c>
      <c r="P13" s="584" t="str">
        <f>IF(VLOOKUP($A13,'Pre-Assessment Estimator'!$A$10:$Z$224,P$2,FALSE)=0,"",VLOOKUP($A13,'Pre-Assessment Estimator'!$A$10:$Z$224,P$2,FALSE))</f>
        <v/>
      </c>
      <c r="Q13" s="584" t="str">
        <f>IF(VLOOKUP($A13,'Pre-Assessment Estimator'!$A$10:$Z$224,Q$2,FALSE)=0,"",VLOOKUP($A13,'Pre-Assessment Estimator'!$A$10:$Z$224,Q$2,FALSE))</f>
        <v/>
      </c>
      <c r="R13" s="585" t="str">
        <f>IF(VLOOKUP($A13,'Pre-Assessment Estimator'!$A$10:$Z$224,R$2,FALSE)=0,"",VLOOKUP($A13,'Pre-Assessment Estimator'!$A$10:$Z$224,R$2,FALSE))</f>
        <v/>
      </c>
      <c r="S13" s="588"/>
      <c r="T13" s="587" t="str">
        <f>IF(VLOOKUP($A13,'Pre-Assessment Estimator'!$A$10:$Z$224,T$2,FALSE)=0,"",VLOOKUP($A13,'Pre-Assessment Estimator'!$A$10:$Z$224,T$2,FALSE))</f>
        <v/>
      </c>
      <c r="U13" s="582">
        <f>VLOOKUP($A13,'Pre-Assessment Estimator'!$A$10:$Z$224,U$2,FALSE)</f>
        <v>0</v>
      </c>
      <c r="V13" s="581" t="str">
        <f>VLOOKUP($A13,'Pre-Assessment Estimator'!$A$10:$Z$224,V$2,FALSE)</f>
        <v>Very Good</v>
      </c>
      <c r="W13" s="584" t="str">
        <f>IF(VLOOKUP($A13,'Pre-Assessment Estimator'!$A$10:$Z$224,W$2,FALSE)=0,"",VLOOKUP($A13,'Pre-Assessment Estimator'!$A$10:$Z$224,W$2,FALSE))</f>
        <v/>
      </c>
      <c r="X13" s="584" t="str">
        <f>IF(VLOOKUP($A13,'Pre-Assessment Estimator'!$A$10:$Z$224,X$2,FALSE)=0,"",VLOOKUP($A13,'Pre-Assessment Estimator'!$A$10:$Z$224,X$2,FALSE))</f>
        <v/>
      </c>
      <c r="Y13" s="370" t="str">
        <f>IF(VLOOKUP($A13,'Pre-Assessment Estimator'!$A$10:$Z$224,Y$2,FALSE)=0,"",VLOOKUP($A13,'Pre-Assessment Estimator'!$A$10:$Z$224,Y$2,FALSE))</f>
        <v/>
      </c>
      <c r="Z13" s="705"/>
      <c r="AA13" s="584" t="str">
        <f>IF(VLOOKUP($A13,'Pre-Assessment Estimator'!$A$10:$AB$224,AA$2,FALSE)=0,"",VLOOKUP($A13,'Pre-Assessment Estimator'!$A$10:$AB$224,AA$2,FALSE))</f>
        <v/>
      </c>
      <c r="AE13" s="386">
        <f>IF(E13="",1,IF(E13=0,2,1))</f>
        <v>1</v>
      </c>
      <c r="AF13" s="95" t="e">
        <f>VLOOKUP(J13,'Assessment Details'!$O$45:$P$48,2,FALSE)</f>
        <v>#N/A</v>
      </c>
      <c r="AG13" s="95" t="e">
        <f>VLOOKUP(Q13,'Assessment Details'!$O$45:$P$48,2,FALSE)</f>
        <v>#N/A</v>
      </c>
      <c r="AH13" s="95" t="e">
        <f>VLOOKUP(X13,'Assessment Details'!$O$45:$P$48,2,FALSE)</f>
        <v>#N/A</v>
      </c>
      <c r="AN13" s="413"/>
    </row>
    <row r="14" spans="1:52" x14ac:dyDescent="0.25">
      <c r="A14" s="836">
        <v>5</v>
      </c>
      <c r="B14" s="1262" t="s">
        <v>64</v>
      </c>
      <c r="C14" s="1262"/>
      <c r="D14" s="340" t="str">
        <f>VLOOKUP($A14,'Pre-Assessment Estimator'!$A$10:$Z$224,D$2,FALSE)</f>
        <v>Third party stakeholder consultation</v>
      </c>
      <c r="E14" s="581">
        <f>VLOOKUP($A14,'Pre-Assessment Estimator'!$A$10:$Z$224,E$2,FALSE)</f>
        <v>1</v>
      </c>
      <c r="F14" s="587" t="str">
        <f>IF(VLOOKUP($A14,'Pre-Assessment Estimator'!$A$10:$Z$224,F$2,FALSE)=0,"",VLOOKUP($A14,'Pre-Assessment Estimator'!$A$10:$Z$224,F$2,FALSE))</f>
        <v/>
      </c>
      <c r="G14" s="582">
        <f>VLOOKUP($A14,'Pre-Assessment Estimator'!$A$10:$Z$224,G$2,FALSE)</f>
        <v>0</v>
      </c>
      <c r="H14" s="581" t="str">
        <f>VLOOKUP($A14,'Pre-Assessment Estimator'!$A$10:$Z$224,H$2,FALSE)</f>
        <v>N/A</v>
      </c>
      <c r="I14" s="584" t="str">
        <f>IF(VLOOKUP($A14,'Pre-Assessment Estimator'!$A$10:$Z$224,I$2,FALSE)=0,"",VLOOKUP($A14,'Pre-Assessment Estimator'!$A$10:$Z$224,I$2,FALSE))</f>
        <v/>
      </c>
      <c r="J14" s="584" t="str">
        <f>IF(VLOOKUP($A14,'Pre-Assessment Estimator'!$A$10:$Z$224,J$2,FALSE)=0,"",VLOOKUP($A14,'Pre-Assessment Estimator'!$A$10:$Z$224,J$2,FALSE))</f>
        <v/>
      </c>
      <c r="K14" s="585" t="str">
        <f>IF(VLOOKUP($A14,'Pre-Assessment Estimator'!$A$10:$Z$224,K$2,FALSE)=0,"",VLOOKUP($A14,'Pre-Assessment Estimator'!$A$10:$Z$224,K$2,FALSE))</f>
        <v/>
      </c>
      <c r="L14" s="586"/>
      <c r="M14" s="587" t="str">
        <f>IF(VLOOKUP($A14,'Pre-Assessment Estimator'!$A$10:$Z$224,M$2,FALSE)=0,"",VLOOKUP($A14,'Pre-Assessment Estimator'!$A$10:$Z$224,M$2,FALSE))</f>
        <v/>
      </c>
      <c r="N14" s="582">
        <f>VLOOKUP($A14,'Pre-Assessment Estimator'!$A$10:$Z$224,N$2,FALSE)</f>
        <v>0</v>
      </c>
      <c r="O14" s="581" t="str">
        <f>VLOOKUP($A14,'Pre-Assessment Estimator'!$A$10:$Z$224,O$2,FALSE)</f>
        <v>N/A</v>
      </c>
      <c r="P14" s="584" t="str">
        <f>IF(VLOOKUP($A14,'Pre-Assessment Estimator'!$A$10:$Z$224,P$2,FALSE)=0,"",VLOOKUP($A14,'Pre-Assessment Estimator'!$A$10:$Z$224,P$2,FALSE))</f>
        <v/>
      </c>
      <c r="Q14" s="584" t="str">
        <f>IF(VLOOKUP($A14,'Pre-Assessment Estimator'!$A$10:$Z$224,Q$2,FALSE)=0,"",VLOOKUP($A14,'Pre-Assessment Estimator'!$A$10:$Z$224,Q$2,FALSE))</f>
        <v/>
      </c>
      <c r="R14" s="585" t="str">
        <f>IF(VLOOKUP($A14,'Pre-Assessment Estimator'!$A$10:$Z$224,R$2,FALSE)=0,"",VLOOKUP($A14,'Pre-Assessment Estimator'!$A$10:$Z$224,R$2,FALSE))</f>
        <v/>
      </c>
      <c r="S14" s="588"/>
      <c r="T14" s="587" t="str">
        <f>IF(VLOOKUP($A14,'Pre-Assessment Estimator'!$A$10:$Z$224,T$2,FALSE)=0,"",VLOOKUP($A14,'Pre-Assessment Estimator'!$A$10:$Z$224,T$2,FALSE))</f>
        <v/>
      </c>
      <c r="U14" s="582">
        <f>VLOOKUP($A14,'Pre-Assessment Estimator'!$A$10:$Z$224,U$2,FALSE)</f>
        <v>0</v>
      </c>
      <c r="V14" s="581" t="str">
        <f>VLOOKUP($A14,'Pre-Assessment Estimator'!$A$10:$Z$224,V$2,FALSE)</f>
        <v>N/A</v>
      </c>
      <c r="W14" s="584" t="str">
        <f>IF(VLOOKUP($A14,'Pre-Assessment Estimator'!$A$10:$Z$224,W$2,FALSE)=0,"",VLOOKUP($A14,'Pre-Assessment Estimator'!$A$10:$Z$224,W$2,FALSE))</f>
        <v/>
      </c>
      <c r="X14" s="584" t="str">
        <f>IF(VLOOKUP($A14,'Pre-Assessment Estimator'!$A$10:$Z$224,X$2,FALSE)=0,"",VLOOKUP($A14,'Pre-Assessment Estimator'!$A$10:$Z$224,X$2,FALSE))</f>
        <v/>
      </c>
      <c r="Y14" s="370" t="str">
        <f>IF(VLOOKUP($A14,'Pre-Assessment Estimator'!$A$10:$Z$224,Y$2,FALSE)=0,"",VLOOKUP($A14,'Pre-Assessment Estimator'!$A$10:$Z$224,Y$2,FALSE))</f>
        <v/>
      </c>
      <c r="Z14" s="705"/>
      <c r="AA14" s="584" t="str">
        <f>IF(VLOOKUP($A14,'Pre-Assessment Estimator'!$A$10:$AB$224,AA$2,FALSE)=0,"",VLOOKUP($A14,'Pre-Assessment Estimator'!$A$10:$AB$224,AA$2,FALSE))</f>
        <v/>
      </c>
      <c r="AE14" s="386">
        <f>IF(E14="",1,IF(E14=0,2,1))</f>
        <v>1</v>
      </c>
      <c r="AF14" s="95" t="e">
        <f>VLOOKUP(J14,'Assessment Details'!$O$45:$P$48,2,FALSE)</f>
        <v>#N/A</v>
      </c>
      <c r="AG14" s="95" t="e">
        <f>VLOOKUP(Q14,'Assessment Details'!$O$45:$P$48,2,FALSE)</f>
        <v>#N/A</v>
      </c>
      <c r="AH14" s="95" t="e">
        <f>VLOOKUP(X14,'Assessment Details'!$O$45:$P$48,2,FALSE)</f>
        <v>#N/A</v>
      </c>
      <c r="AN14" s="413"/>
      <c r="AP14" s="412"/>
    </row>
    <row r="15" spans="1:52" x14ac:dyDescent="0.25">
      <c r="A15" s="836">
        <v>6</v>
      </c>
      <c r="B15" s="1262" t="s">
        <v>64</v>
      </c>
      <c r="C15" s="1262"/>
      <c r="D15" s="340" t="str">
        <f>VLOOKUP($A15,'Pre-Assessment Estimator'!$A$10:$Z$224,D$2,FALSE)</f>
        <v>BREEAM-NOR AP (stage 2 and 3)</v>
      </c>
      <c r="E15" s="581">
        <f>VLOOKUP($A15,'Pre-Assessment Estimator'!$A$10:$Z$224,E$2,FALSE)</f>
        <v>1</v>
      </c>
      <c r="F15" s="587" t="str">
        <f>IF(VLOOKUP($A15,'Pre-Assessment Estimator'!$A$10:$Z$224,F$2,FALSE)=0,"",VLOOKUP($A15,'Pre-Assessment Estimator'!$A$10:$Z$224,F$2,FALSE))</f>
        <v/>
      </c>
      <c r="G15" s="582">
        <f>VLOOKUP($A15,'Pre-Assessment Estimator'!$A$10:$Z$224,G$2,FALSE)</f>
        <v>0</v>
      </c>
      <c r="H15" s="581" t="str">
        <f>VLOOKUP($A15,'Pre-Assessment Estimator'!$A$10:$Z$224,H$2,FALSE)</f>
        <v>N/A</v>
      </c>
      <c r="I15" s="584" t="str">
        <f>IF(VLOOKUP($A15,'Pre-Assessment Estimator'!$A$10:$Z$224,I$2,FALSE)=0,"",VLOOKUP($A15,'Pre-Assessment Estimator'!$A$10:$Z$224,I$2,FALSE))</f>
        <v/>
      </c>
      <c r="J15" s="584" t="str">
        <f>IF(VLOOKUP($A15,'Pre-Assessment Estimator'!$A$10:$Z$224,J$2,FALSE)=0,"",VLOOKUP($A15,'Pre-Assessment Estimator'!$A$10:$Z$224,J$2,FALSE))</f>
        <v/>
      </c>
      <c r="K15" s="585" t="str">
        <f>IF(VLOOKUP($A15,'Pre-Assessment Estimator'!$A$10:$Z$224,K$2,FALSE)=0,"",VLOOKUP($A15,'Pre-Assessment Estimator'!$A$10:$Z$224,K$2,FALSE))</f>
        <v/>
      </c>
      <c r="L15" s="586"/>
      <c r="M15" s="587" t="str">
        <f>IF(VLOOKUP($A15,'Pre-Assessment Estimator'!$A$10:$Z$224,M$2,FALSE)=0,"",VLOOKUP($A15,'Pre-Assessment Estimator'!$A$10:$Z$224,M$2,FALSE))</f>
        <v/>
      </c>
      <c r="N15" s="582">
        <f>VLOOKUP($A15,'Pre-Assessment Estimator'!$A$10:$Z$224,N$2,FALSE)</f>
        <v>0</v>
      </c>
      <c r="O15" s="581" t="str">
        <f>VLOOKUP($A15,'Pre-Assessment Estimator'!$A$10:$Z$224,O$2,FALSE)</f>
        <v>N/A</v>
      </c>
      <c r="P15" s="584" t="str">
        <f>IF(VLOOKUP($A15,'Pre-Assessment Estimator'!$A$10:$Z$224,P$2,FALSE)=0,"",VLOOKUP($A15,'Pre-Assessment Estimator'!$A$10:$Z$224,P$2,FALSE))</f>
        <v/>
      </c>
      <c r="Q15" s="584" t="str">
        <f>IF(VLOOKUP($A15,'Pre-Assessment Estimator'!$A$10:$Z$224,Q$2,FALSE)=0,"",VLOOKUP($A15,'Pre-Assessment Estimator'!$A$10:$Z$224,Q$2,FALSE))</f>
        <v/>
      </c>
      <c r="R15" s="585" t="str">
        <f>IF(VLOOKUP($A15,'Pre-Assessment Estimator'!$A$10:$Z$224,R$2,FALSE)=0,"",VLOOKUP($A15,'Pre-Assessment Estimator'!$A$10:$Z$224,R$2,FALSE))</f>
        <v/>
      </c>
      <c r="S15" s="588"/>
      <c r="T15" s="587" t="str">
        <f>IF(VLOOKUP($A15,'Pre-Assessment Estimator'!$A$10:$Z$224,T$2,FALSE)=0,"",VLOOKUP($A15,'Pre-Assessment Estimator'!$A$10:$Z$224,T$2,FALSE))</f>
        <v/>
      </c>
      <c r="U15" s="582">
        <f>VLOOKUP($A15,'Pre-Assessment Estimator'!$A$10:$Z$224,U$2,FALSE)</f>
        <v>0</v>
      </c>
      <c r="V15" s="581" t="str">
        <f>VLOOKUP($A15,'Pre-Assessment Estimator'!$A$10:$Z$224,V$2,FALSE)</f>
        <v>N/A</v>
      </c>
      <c r="W15" s="584" t="str">
        <f>IF(VLOOKUP($A15,'Pre-Assessment Estimator'!$A$10:$Z$224,W$2,FALSE)=0,"",VLOOKUP($A15,'Pre-Assessment Estimator'!$A$10:$Z$224,W$2,FALSE))</f>
        <v/>
      </c>
      <c r="X15" s="584" t="str">
        <f>IF(VLOOKUP($A15,'Pre-Assessment Estimator'!$A$10:$Z$224,X$2,FALSE)=0,"",VLOOKUP($A15,'Pre-Assessment Estimator'!$A$10:$Z$224,X$2,FALSE))</f>
        <v/>
      </c>
      <c r="Y15" s="370" t="str">
        <f>IF(VLOOKUP($A15,'Pre-Assessment Estimator'!$A$10:$Z$224,Y$2,FALSE)=0,"",VLOOKUP($A15,'Pre-Assessment Estimator'!$A$10:$Z$224,Y$2,FALSE))</f>
        <v/>
      </c>
      <c r="Z15" s="705"/>
      <c r="AA15" s="584" t="str">
        <f>IF(VLOOKUP($A15,'Pre-Assessment Estimator'!$A$10:$AB$224,AA$2,FALSE)=0,"",VLOOKUP($A15,'Pre-Assessment Estimator'!$A$10:$AB$224,AA$2,FALSE))</f>
        <v/>
      </c>
      <c r="AE15" s="386">
        <f>IF(E15="",1,IF(E15=0,2,1))</f>
        <v>1</v>
      </c>
      <c r="AF15" s="95" t="e">
        <f>VLOOKUP(J15,'Assessment Details'!$O$45:$P$48,2,FALSE)</f>
        <v>#N/A</v>
      </c>
      <c r="AG15" s="95" t="e">
        <f>VLOOKUP(Q15,'Assessment Details'!$O$45:$P$48,2,FALSE)</f>
        <v>#N/A</v>
      </c>
      <c r="AH15" s="95" t="e">
        <f>VLOOKUP(X15,'Assessment Details'!$O$45:$P$48,2,FALSE)</f>
        <v>#N/A</v>
      </c>
      <c r="AI15" s="414"/>
      <c r="AN15" s="413"/>
    </row>
    <row r="16" spans="1:52" x14ac:dyDescent="0.25">
      <c r="A16" s="836">
        <v>7</v>
      </c>
      <c r="B16" s="1262"/>
      <c r="C16" s="1262"/>
      <c r="D16" s="340" t="str">
        <f>VLOOKUP($A16,'Pre-Assessment Estimator'!$A$10:$Z$224,D$2,FALSE)</f>
        <v>BREEAM-NOR AP (stage 4)</v>
      </c>
      <c r="E16" s="581">
        <f>VLOOKUP($A16,'Pre-Assessment Estimator'!$A$10:$Z$224,E$2,FALSE)</f>
        <v>1</v>
      </c>
      <c r="F16" s="587" t="str">
        <f>IF(VLOOKUP($A16,'Pre-Assessment Estimator'!$A$10:$Z$224,F$2,FALSE)=0,"",VLOOKUP($A16,'Pre-Assessment Estimator'!$A$10:$Z$224,F$2,FALSE))</f>
        <v/>
      </c>
      <c r="G16" s="582">
        <f>VLOOKUP($A16,'Pre-Assessment Estimator'!$A$10:$Z$224,G$2,FALSE)</f>
        <v>0</v>
      </c>
      <c r="H16" s="581" t="str">
        <f>VLOOKUP($A16,'Pre-Assessment Estimator'!$A$10:$Z$224,H$2,FALSE)</f>
        <v>N/A</v>
      </c>
      <c r="I16" s="584" t="str">
        <f>IF(VLOOKUP($A16,'Pre-Assessment Estimator'!$A$10:$Z$224,I$2,FALSE)=0,"",VLOOKUP($A16,'Pre-Assessment Estimator'!$A$10:$Z$224,I$2,FALSE))</f>
        <v/>
      </c>
      <c r="J16" s="584" t="str">
        <f>IF(VLOOKUP($A16,'Pre-Assessment Estimator'!$A$10:$Z$224,J$2,FALSE)=0,"",VLOOKUP($A16,'Pre-Assessment Estimator'!$A$10:$Z$224,J$2,FALSE))</f>
        <v/>
      </c>
      <c r="K16" s="585" t="str">
        <f>IF(VLOOKUP($A16,'Pre-Assessment Estimator'!$A$10:$Z$224,K$2,FALSE)=0,"",VLOOKUP($A16,'Pre-Assessment Estimator'!$A$10:$Z$224,K$2,FALSE))</f>
        <v/>
      </c>
      <c r="L16" s="586"/>
      <c r="M16" s="587" t="str">
        <f>IF(VLOOKUP($A16,'Pre-Assessment Estimator'!$A$10:$Z$224,M$2,FALSE)=0,"",VLOOKUP($A16,'Pre-Assessment Estimator'!$A$10:$Z$224,M$2,FALSE))</f>
        <v/>
      </c>
      <c r="N16" s="582">
        <f>VLOOKUP($A16,'Pre-Assessment Estimator'!$A$10:$Z$224,N$2,FALSE)</f>
        <v>0</v>
      </c>
      <c r="O16" s="581" t="str">
        <f>VLOOKUP($A16,'Pre-Assessment Estimator'!$A$10:$Z$224,O$2,FALSE)</f>
        <v>N/A</v>
      </c>
      <c r="P16" s="584" t="str">
        <f>IF(VLOOKUP($A16,'Pre-Assessment Estimator'!$A$10:$Z$224,P$2,FALSE)=0,"",VLOOKUP($A16,'Pre-Assessment Estimator'!$A$10:$Z$224,P$2,FALSE))</f>
        <v/>
      </c>
      <c r="Q16" s="584" t="str">
        <f>IF(VLOOKUP($A16,'Pre-Assessment Estimator'!$A$10:$Z$224,Q$2,FALSE)=0,"",VLOOKUP($A16,'Pre-Assessment Estimator'!$A$10:$Z$224,Q$2,FALSE))</f>
        <v/>
      </c>
      <c r="R16" s="585" t="str">
        <f>IF(VLOOKUP($A16,'Pre-Assessment Estimator'!$A$10:$Z$224,R$2,FALSE)=0,"",VLOOKUP($A16,'Pre-Assessment Estimator'!$A$10:$Z$224,R$2,FALSE))</f>
        <v/>
      </c>
      <c r="S16" s="588"/>
      <c r="T16" s="587" t="str">
        <f>IF(VLOOKUP($A16,'Pre-Assessment Estimator'!$A$10:$Z$224,T$2,FALSE)=0,"",VLOOKUP($A16,'Pre-Assessment Estimator'!$A$10:$Z$224,T$2,FALSE))</f>
        <v/>
      </c>
      <c r="U16" s="582">
        <f>VLOOKUP($A16,'Pre-Assessment Estimator'!$A$10:$Z$224,U$2,FALSE)</f>
        <v>0</v>
      </c>
      <c r="V16" s="581" t="str">
        <f>VLOOKUP($A16,'Pre-Assessment Estimator'!$A$10:$Z$224,V$2,FALSE)</f>
        <v>N/A</v>
      </c>
      <c r="W16" s="584" t="str">
        <f>IF(VLOOKUP($A16,'Pre-Assessment Estimator'!$A$10:$Z$224,W$2,FALSE)=0,"",VLOOKUP($A16,'Pre-Assessment Estimator'!$A$10:$Z$224,W$2,FALSE))</f>
        <v/>
      </c>
      <c r="X16" s="584" t="str">
        <f>IF(VLOOKUP($A16,'Pre-Assessment Estimator'!$A$10:$Z$224,X$2,FALSE)=0,"",VLOOKUP($A16,'Pre-Assessment Estimator'!$A$10:$Z$224,X$2,FALSE))</f>
        <v/>
      </c>
      <c r="Y16" s="370" t="str">
        <f>IF(VLOOKUP($A16,'Pre-Assessment Estimator'!$A$10:$Z$224,Y$2,FALSE)=0,"",VLOOKUP($A16,'Pre-Assessment Estimator'!$A$10:$Z$224,Y$2,FALSE))</f>
        <v/>
      </c>
      <c r="Z16" s="705"/>
      <c r="AA16" s="584"/>
      <c r="AE16" s="386">
        <f t="shared" ref="AE16:AE80" si="0">IF(E16="",1,IF(E16=0,2,1))</f>
        <v>1</v>
      </c>
      <c r="AF16" s="95" t="e">
        <f>VLOOKUP(J16,'Assessment Details'!$O$45:$P$48,2,FALSE)</f>
        <v>#N/A</v>
      </c>
      <c r="AG16" s="95" t="e">
        <f>VLOOKUP(Q16,'Assessment Details'!$O$45:$P$48,2,FALSE)</f>
        <v>#N/A</v>
      </c>
      <c r="AH16" s="95" t="e">
        <f>VLOOKUP(X16,'Assessment Details'!$O$45:$P$48,2,FALSE)</f>
        <v>#N/A</v>
      </c>
      <c r="AI16" s="414"/>
      <c r="AN16" s="413"/>
    </row>
    <row r="17" spans="1:40" x14ac:dyDescent="0.25">
      <c r="A17" s="836">
        <v>8</v>
      </c>
      <c r="B17" s="1262"/>
      <c r="C17" s="1262"/>
      <c r="D17" s="993" t="str">
        <f>VLOOKUP($A17,'Pre-Assessment Estimator'!$A$10:$Z$224,D$2,FALSE)</f>
        <v>Man 02 Life cycle cost and service life planning</v>
      </c>
      <c r="E17" s="581">
        <f>VLOOKUP($A17,'Pre-Assessment Estimator'!$A$10:$Z$224,E$2,FALSE)</f>
        <v>3</v>
      </c>
      <c r="F17" s="587" t="str">
        <f>IF(VLOOKUP($A17,'Pre-Assessment Estimator'!$A$10:$Z$224,F$2,FALSE)=0,"",VLOOKUP($A17,'Pre-Assessment Estimator'!$A$10:$Z$224,F$2,FALSE))</f>
        <v/>
      </c>
      <c r="G17" s="582" t="str">
        <f>VLOOKUP($A17,'Pre-Assessment Estimator'!$A$10:$Z$224,G$2,FALSE)</f>
        <v>0 c. 0 %</v>
      </c>
      <c r="H17" s="581" t="str">
        <f>VLOOKUP($A17,'Pre-Assessment Estimator'!$A$10:$Z$224,H$2,FALSE)</f>
        <v>N/A</v>
      </c>
      <c r="I17" s="584" t="str">
        <f>IF(VLOOKUP($A17,'Pre-Assessment Estimator'!$A$10:$Z$224,I$2,FALSE)=0,"",VLOOKUP($A17,'Pre-Assessment Estimator'!$A$10:$Z$224,I$2,FALSE))</f>
        <v/>
      </c>
      <c r="J17" s="584" t="str">
        <f>IF(VLOOKUP($A17,'Pre-Assessment Estimator'!$A$10:$Z$224,J$2,FALSE)=0,"",VLOOKUP($A17,'Pre-Assessment Estimator'!$A$10:$Z$224,J$2,FALSE))</f>
        <v/>
      </c>
      <c r="K17" s="585" t="str">
        <f>IF(VLOOKUP($A17,'Pre-Assessment Estimator'!$A$10:$Z$224,K$2,FALSE)=0,"",VLOOKUP($A17,'Pre-Assessment Estimator'!$A$10:$Z$224,K$2,FALSE))</f>
        <v/>
      </c>
      <c r="L17" s="586"/>
      <c r="M17" s="587" t="str">
        <f>IF(VLOOKUP($A17,'Pre-Assessment Estimator'!$A$10:$Z$224,M$2,FALSE)=0,"",VLOOKUP($A17,'Pre-Assessment Estimator'!$A$10:$Z$224,M$2,FALSE))</f>
        <v/>
      </c>
      <c r="N17" s="582" t="str">
        <f>VLOOKUP($A17,'Pre-Assessment Estimator'!$A$10:$Z$224,N$2,FALSE)</f>
        <v>0 c. 0 %</v>
      </c>
      <c r="O17" s="581" t="str">
        <f>VLOOKUP($A17,'Pre-Assessment Estimator'!$A$10:$Z$224,O$2,FALSE)</f>
        <v>N/A</v>
      </c>
      <c r="P17" s="584" t="str">
        <f>IF(VLOOKUP($A17,'Pre-Assessment Estimator'!$A$10:$Z$224,P$2,FALSE)=0,"",VLOOKUP($A17,'Pre-Assessment Estimator'!$A$10:$Z$224,P$2,FALSE))</f>
        <v/>
      </c>
      <c r="Q17" s="584" t="str">
        <f>IF(VLOOKUP($A17,'Pre-Assessment Estimator'!$A$10:$Z$224,Q$2,FALSE)=0,"",VLOOKUP($A17,'Pre-Assessment Estimator'!$A$10:$Z$224,Q$2,FALSE))</f>
        <v/>
      </c>
      <c r="R17" s="585" t="str">
        <f>IF(VLOOKUP($A17,'Pre-Assessment Estimator'!$A$10:$Z$224,R$2,FALSE)=0,"",VLOOKUP($A17,'Pre-Assessment Estimator'!$A$10:$Z$224,R$2,FALSE))</f>
        <v/>
      </c>
      <c r="S17" s="588"/>
      <c r="T17" s="587" t="str">
        <f>IF(VLOOKUP($A17,'Pre-Assessment Estimator'!$A$10:$Z$224,T$2,FALSE)=0,"",VLOOKUP($A17,'Pre-Assessment Estimator'!$A$10:$Z$224,T$2,FALSE))</f>
        <v/>
      </c>
      <c r="U17" s="582" t="str">
        <f>VLOOKUP($A17,'Pre-Assessment Estimator'!$A$10:$Z$224,U$2,FALSE)</f>
        <v>0 c. 0 %</v>
      </c>
      <c r="V17" s="581" t="str">
        <f>VLOOKUP($A17,'Pre-Assessment Estimator'!$A$10:$Z$224,V$2,FALSE)</f>
        <v>N/A</v>
      </c>
      <c r="W17" s="584" t="str">
        <f>IF(VLOOKUP($A17,'Pre-Assessment Estimator'!$A$10:$Z$224,W$2,FALSE)=0,"",VLOOKUP($A17,'Pre-Assessment Estimator'!$A$10:$Z$224,W$2,FALSE))</f>
        <v/>
      </c>
      <c r="X17" s="584" t="str">
        <f>IF(VLOOKUP($A17,'Pre-Assessment Estimator'!$A$10:$Z$224,X$2,FALSE)=0,"",VLOOKUP($A17,'Pre-Assessment Estimator'!$A$10:$Z$224,X$2,FALSE))</f>
        <v/>
      </c>
      <c r="Y17" s="370" t="str">
        <f>IF(VLOOKUP($A17,'Pre-Assessment Estimator'!$A$10:$Z$224,Y$2,FALSE)=0,"",VLOOKUP($A17,'Pre-Assessment Estimator'!$A$10:$Z$224,Y$2,FALSE))</f>
        <v/>
      </c>
      <c r="Z17" s="705"/>
      <c r="AA17" s="584"/>
      <c r="AE17" s="386">
        <f t="shared" si="0"/>
        <v>1</v>
      </c>
      <c r="AF17" s="95" t="e">
        <f>VLOOKUP(J17,'Assessment Details'!$O$45:$P$48,2,FALSE)</f>
        <v>#N/A</v>
      </c>
      <c r="AG17" s="95" t="e">
        <f>VLOOKUP(Q17,'Assessment Details'!$O$45:$P$48,2,FALSE)</f>
        <v>#N/A</v>
      </c>
      <c r="AH17" s="95" t="e">
        <f>VLOOKUP(X17,'Assessment Details'!$O$45:$P$48,2,FALSE)</f>
        <v>#N/A</v>
      </c>
      <c r="AI17" s="414"/>
      <c r="AN17" s="413"/>
    </row>
    <row r="18" spans="1:40" x14ac:dyDescent="0.25">
      <c r="A18" s="836">
        <v>9</v>
      </c>
      <c r="B18" s="1262"/>
      <c r="C18" s="1262"/>
      <c r="D18" s="340" t="str">
        <f>VLOOKUP($A18,'Pre-Assessment Estimator'!$A$10:$Z$224,D$2,FALSE)</f>
        <v>Elemental life cycle cost (LCC) and capital cost reporting</v>
      </c>
      <c r="E18" s="581">
        <f>VLOOKUP($A18,'Pre-Assessment Estimator'!$A$10:$Z$224,E$2,FALSE)</f>
        <v>2</v>
      </c>
      <c r="F18" s="587" t="str">
        <f>IF(VLOOKUP($A18,'Pre-Assessment Estimator'!$A$10:$Z$224,F$2,FALSE)=0,"",VLOOKUP($A18,'Pre-Assessment Estimator'!$A$10:$Z$224,F$2,FALSE))</f>
        <v/>
      </c>
      <c r="G18" s="582">
        <f>VLOOKUP($A18,'Pre-Assessment Estimator'!$A$10:$Z$224,G$2,FALSE)</f>
        <v>0</v>
      </c>
      <c r="H18" s="581" t="str">
        <f>VLOOKUP($A18,'Pre-Assessment Estimator'!$A$10:$Z$224,H$2,FALSE)</f>
        <v>N/A</v>
      </c>
      <c r="I18" s="584" t="str">
        <f>IF(VLOOKUP($A18,'Pre-Assessment Estimator'!$A$10:$Z$224,I$2,FALSE)=0,"",VLOOKUP($A18,'Pre-Assessment Estimator'!$A$10:$Z$224,I$2,FALSE))</f>
        <v/>
      </c>
      <c r="J18" s="584" t="str">
        <f>IF(VLOOKUP($A18,'Pre-Assessment Estimator'!$A$10:$Z$224,J$2,FALSE)=0,"",VLOOKUP($A18,'Pre-Assessment Estimator'!$A$10:$Z$224,J$2,FALSE))</f>
        <v/>
      </c>
      <c r="K18" s="585" t="str">
        <f>IF(VLOOKUP($A18,'Pre-Assessment Estimator'!$A$10:$Z$224,K$2,FALSE)=0,"",VLOOKUP($A18,'Pre-Assessment Estimator'!$A$10:$Z$224,K$2,FALSE))</f>
        <v/>
      </c>
      <c r="L18" s="586"/>
      <c r="M18" s="587" t="str">
        <f>IF(VLOOKUP($A18,'Pre-Assessment Estimator'!$A$10:$Z$224,M$2,FALSE)=0,"",VLOOKUP($A18,'Pre-Assessment Estimator'!$A$10:$Z$224,M$2,FALSE))</f>
        <v/>
      </c>
      <c r="N18" s="582">
        <f>VLOOKUP($A18,'Pre-Assessment Estimator'!$A$10:$Z$224,N$2,FALSE)</f>
        <v>0</v>
      </c>
      <c r="O18" s="581" t="str">
        <f>VLOOKUP($A18,'Pre-Assessment Estimator'!$A$10:$Z$224,O$2,FALSE)</f>
        <v>N/A</v>
      </c>
      <c r="P18" s="584" t="str">
        <f>IF(VLOOKUP($A18,'Pre-Assessment Estimator'!$A$10:$Z$224,P$2,FALSE)=0,"",VLOOKUP($A18,'Pre-Assessment Estimator'!$A$10:$Z$224,P$2,FALSE))</f>
        <v/>
      </c>
      <c r="Q18" s="584" t="str">
        <f>IF(VLOOKUP($A18,'Pre-Assessment Estimator'!$A$10:$Z$224,Q$2,FALSE)=0,"",VLOOKUP($A18,'Pre-Assessment Estimator'!$A$10:$Z$224,Q$2,FALSE))</f>
        <v/>
      </c>
      <c r="R18" s="585" t="str">
        <f>IF(VLOOKUP($A18,'Pre-Assessment Estimator'!$A$10:$Z$224,R$2,FALSE)=0,"",VLOOKUP($A18,'Pre-Assessment Estimator'!$A$10:$Z$224,R$2,FALSE))</f>
        <v/>
      </c>
      <c r="S18" s="588"/>
      <c r="T18" s="587" t="str">
        <f>IF(VLOOKUP($A18,'Pre-Assessment Estimator'!$A$10:$Z$224,T$2,FALSE)=0,"",VLOOKUP($A18,'Pre-Assessment Estimator'!$A$10:$Z$224,T$2,FALSE))</f>
        <v/>
      </c>
      <c r="U18" s="582">
        <f>VLOOKUP($A18,'Pre-Assessment Estimator'!$A$10:$Z$224,U$2,FALSE)</f>
        <v>0</v>
      </c>
      <c r="V18" s="581" t="str">
        <f>VLOOKUP($A18,'Pre-Assessment Estimator'!$A$10:$Z$224,V$2,FALSE)</f>
        <v>N/A</v>
      </c>
      <c r="W18" s="584" t="str">
        <f>IF(VLOOKUP($A18,'Pre-Assessment Estimator'!$A$10:$Z$224,W$2,FALSE)=0,"",VLOOKUP($A18,'Pre-Assessment Estimator'!$A$10:$Z$224,W$2,FALSE))</f>
        <v/>
      </c>
      <c r="X18" s="584" t="str">
        <f>IF(VLOOKUP($A18,'Pre-Assessment Estimator'!$A$10:$Z$224,X$2,FALSE)=0,"",VLOOKUP($A18,'Pre-Assessment Estimator'!$A$10:$Z$224,X$2,FALSE))</f>
        <v/>
      </c>
      <c r="Y18" s="370" t="str">
        <f>IF(VLOOKUP($A18,'Pre-Assessment Estimator'!$A$10:$Z$224,Y$2,FALSE)=0,"",VLOOKUP($A18,'Pre-Assessment Estimator'!$A$10:$Z$224,Y$2,FALSE))</f>
        <v/>
      </c>
      <c r="Z18" s="705"/>
      <c r="AA18" s="584"/>
      <c r="AE18" s="386">
        <f t="shared" si="0"/>
        <v>1</v>
      </c>
      <c r="AF18" s="95" t="e">
        <f>VLOOKUP(J18,'Assessment Details'!$O$45:$P$48,2,FALSE)</f>
        <v>#N/A</v>
      </c>
      <c r="AG18" s="95" t="e">
        <f>VLOOKUP(Q18,'Assessment Details'!$O$45:$P$48,2,FALSE)</f>
        <v>#N/A</v>
      </c>
      <c r="AH18" s="95" t="e">
        <f>VLOOKUP(X18,'Assessment Details'!$O$45:$P$48,2,FALSE)</f>
        <v>#N/A</v>
      </c>
      <c r="AI18" s="414"/>
      <c r="AN18" s="413"/>
    </row>
    <row r="19" spans="1:40" x14ac:dyDescent="0.25">
      <c r="A19" s="836">
        <v>10</v>
      </c>
      <c r="B19" s="1262"/>
      <c r="C19" s="1262"/>
      <c r="D19" s="340" t="str">
        <f>VLOOKUP($A19,'Pre-Assessment Estimator'!$A$10:$Z$224,D$2,FALSE)</f>
        <v>Component level life option appraisal</v>
      </c>
      <c r="E19" s="581">
        <f>VLOOKUP($A19,'Pre-Assessment Estimator'!$A$10:$Z$224,E$2,FALSE)</f>
        <v>1</v>
      </c>
      <c r="F19" s="587" t="str">
        <f>IF(VLOOKUP($A19,'Pre-Assessment Estimator'!$A$10:$Z$224,F$2,FALSE)=0,"",VLOOKUP($A19,'Pre-Assessment Estimator'!$A$10:$Z$224,F$2,FALSE))</f>
        <v/>
      </c>
      <c r="G19" s="582">
        <f>VLOOKUP($A19,'Pre-Assessment Estimator'!$A$10:$Z$224,G$2,FALSE)</f>
        <v>0</v>
      </c>
      <c r="H19" s="581" t="str">
        <f>VLOOKUP($A19,'Pre-Assessment Estimator'!$A$10:$Z$224,H$2,FALSE)</f>
        <v>N/A</v>
      </c>
      <c r="I19" s="584" t="str">
        <f>IF(VLOOKUP($A19,'Pre-Assessment Estimator'!$A$10:$Z$224,I$2,FALSE)=0,"",VLOOKUP($A19,'Pre-Assessment Estimator'!$A$10:$Z$224,I$2,FALSE))</f>
        <v/>
      </c>
      <c r="J19" s="584" t="str">
        <f>IF(VLOOKUP($A19,'Pre-Assessment Estimator'!$A$10:$Z$224,J$2,FALSE)=0,"",VLOOKUP($A19,'Pre-Assessment Estimator'!$A$10:$Z$224,J$2,FALSE))</f>
        <v/>
      </c>
      <c r="K19" s="585" t="str">
        <f>IF(VLOOKUP($A19,'Pre-Assessment Estimator'!$A$10:$Z$224,K$2,FALSE)=0,"",VLOOKUP($A19,'Pre-Assessment Estimator'!$A$10:$Z$224,K$2,FALSE))</f>
        <v/>
      </c>
      <c r="L19" s="586"/>
      <c r="M19" s="587" t="str">
        <f>IF(VLOOKUP($A19,'Pre-Assessment Estimator'!$A$10:$Z$224,M$2,FALSE)=0,"",VLOOKUP($A19,'Pre-Assessment Estimator'!$A$10:$Z$224,M$2,FALSE))</f>
        <v/>
      </c>
      <c r="N19" s="582">
        <f>VLOOKUP($A19,'Pre-Assessment Estimator'!$A$10:$Z$224,N$2,FALSE)</f>
        <v>0</v>
      </c>
      <c r="O19" s="581" t="str">
        <f>VLOOKUP($A19,'Pre-Assessment Estimator'!$A$10:$Z$224,O$2,FALSE)</f>
        <v>N/A</v>
      </c>
      <c r="P19" s="584" t="str">
        <f>IF(VLOOKUP($A19,'Pre-Assessment Estimator'!$A$10:$Z$224,P$2,FALSE)=0,"",VLOOKUP($A19,'Pre-Assessment Estimator'!$A$10:$Z$224,P$2,FALSE))</f>
        <v/>
      </c>
      <c r="Q19" s="584" t="str">
        <f>IF(VLOOKUP($A19,'Pre-Assessment Estimator'!$A$10:$Z$224,Q$2,FALSE)=0,"",VLOOKUP($A19,'Pre-Assessment Estimator'!$A$10:$Z$224,Q$2,FALSE))</f>
        <v/>
      </c>
      <c r="R19" s="585" t="str">
        <f>IF(VLOOKUP($A19,'Pre-Assessment Estimator'!$A$10:$Z$224,R$2,FALSE)=0,"",VLOOKUP($A19,'Pre-Assessment Estimator'!$A$10:$Z$224,R$2,FALSE))</f>
        <v/>
      </c>
      <c r="S19" s="588"/>
      <c r="T19" s="587" t="str">
        <f>IF(VLOOKUP($A19,'Pre-Assessment Estimator'!$A$10:$Z$224,T$2,FALSE)=0,"",VLOOKUP($A19,'Pre-Assessment Estimator'!$A$10:$Z$224,T$2,FALSE))</f>
        <v/>
      </c>
      <c r="U19" s="582">
        <f>VLOOKUP($A19,'Pre-Assessment Estimator'!$A$10:$Z$224,U$2,FALSE)</f>
        <v>0</v>
      </c>
      <c r="V19" s="581" t="str">
        <f>VLOOKUP($A19,'Pre-Assessment Estimator'!$A$10:$Z$224,V$2,FALSE)</f>
        <v>N/A</v>
      </c>
      <c r="W19" s="584" t="str">
        <f>IF(VLOOKUP($A19,'Pre-Assessment Estimator'!$A$10:$Z$224,W$2,FALSE)=0,"",VLOOKUP($A19,'Pre-Assessment Estimator'!$A$10:$Z$224,W$2,FALSE))</f>
        <v/>
      </c>
      <c r="X19" s="584" t="str">
        <f>IF(VLOOKUP($A19,'Pre-Assessment Estimator'!$A$10:$Z$224,X$2,FALSE)=0,"",VLOOKUP($A19,'Pre-Assessment Estimator'!$A$10:$Z$224,X$2,FALSE))</f>
        <v/>
      </c>
      <c r="Y19" s="370" t="str">
        <f>IF(VLOOKUP($A19,'Pre-Assessment Estimator'!$A$10:$Z$224,Y$2,FALSE)=0,"",VLOOKUP($A19,'Pre-Assessment Estimator'!$A$10:$Z$224,Y$2,FALSE))</f>
        <v/>
      </c>
      <c r="Z19" s="705"/>
      <c r="AA19" s="584"/>
      <c r="AE19" s="386">
        <f t="shared" si="0"/>
        <v>1</v>
      </c>
      <c r="AF19" s="95" t="e">
        <f>VLOOKUP(J19,'Assessment Details'!$O$45:$P$48,2,FALSE)</f>
        <v>#N/A</v>
      </c>
      <c r="AG19" s="95" t="e">
        <f>VLOOKUP(Q19,'Assessment Details'!$O$45:$P$48,2,FALSE)</f>
        <v>#N/A</v>
      </c>
      <c r="AH19" s="95" t="e">
        <f>VLOOKUP(X19,'Assessment Details'!$O$45:$P$48,2,FALSE)</f>
        <v>#N/A</v>
      </c>
      <c r="AI19" s="414"/>
      <c r="AN19" s="413"/>
    </row>
    <row r="20" spans="1:40" x14ac:dyDescent="0.25">
      <c r="A20" s="836">
        <v>11</v>
      </c>
      <c r="B20" s="1262"/>
      <c r="C20" s="1262"/>
      <c r="D20" s="993" t="str">
        <f>VLOOKUP($A20,'Pre-Assessment Estimator'!$A$10:$Z$224,D$2,FALSE)</f>
        <v>Man 03 Responsible construction practices</v>
      </c>
      <c r="E20" s="581">
        <f>VLOOKUP($A20,'Pre-Assessment Estimator'!$A$10:$Z$224,E$2,FALSE)</f>
        <v>7</v>
      </c>
      <c r="F20" s="587" t="str">
        <f>IF(VLOOKUP($A20,'Pre-Assessment Estimator'!$A$10:$Z$224,F$2,FALSE)=0,"",VLOOKUP($A20,'Pre-Assessment Estimator'!$A$10:$Z$224,F$2,FALSE))</f>
        <v/>
      </c>
      <c r="G20" s="582" t="str">
        <f>VLOOKUP($A20,'Pre-Assessment Estimator'!$A$10:$Z$224,G$2,FALSE)</f>
        <v>0 c. 0 %</v>
      </c>
      <c r="H20" s="581" t="str">
        <f>VLOOKUP($A20,'Pre-Assessment Estimator'!$A$10:$Z$224,H$2,FALSE)</f>
        <v>N/A</v>
      </c>
      <c r="I20" s="584" t="str">
        <f>IF(VLOOKUP($A20,'Pre-Assessment Estimator'!$A$10:$Z$224,I$2,FALSE)=0,"",VLOOKUP($A20,'Pre-Assessment Estimator'!$A$10:$Z$224,I$2,FALSE))</f>
        <v/>
      </c>
      <c r="J20" s="584" t="str">
        <f>IF(VLOOKUP($A20,'Pre-Assessment Estimator'!$A$10:$Z$224,J$2,FALSE)=0,"",VLOOKUP($A20,'Pre-Assessment Estimator'!$A$10:$Z$224,J$2,FALSE))</f>
        <v/>
      </c>
      <c r="K20" s="585" t="str">
        <f>IF(VLOOKUP($A20,'Pre-Assessment Estimator'!$A$10:$Z$224,K$2,FALSE)=0,"",VLOOKUP($A20,'Pre-Assessment Estimator'!$A$10:$Z$224,K$2,FALSE))</f>
        <v/>
      </c>
      <c r="L20" s="586"/>
      <c r="M20" s="587" t="str">
        <f>IF(VLOOKUP($A20,'Pre-Assessment Estimator'!$A$10:$Z$224,M$2,FALSE)=0,"",VLOOKUP($A20,'Pre-Assessment Estimator'!$A$10:$Z$224,M$2,FALSE))</f>
        <v/>
      </c>
      <c r="N20" s="582" t="str">
        <f>VLOOKUP($A20,'Pre-Assessment Estimator'!$A$10:$Z$224,N$2,FALSE)</f>
        <v>0 c. 0 %</v>
      </c>
      <c r="O20" s="581" t="str">
        <f>VLOOKUP($A20,'Pre-Assessment Estimator'!$A$10:$Z$224,O$2,FALSE)</f>
        <v>N/A</v>
      </c>
      <c r="P20" s="584" t="str">
        <f>IF(VLOOKUP($A20,'Pre-Assessment Estimator'!$A$10:$Z$224,P$2,FALSE)=0,"",VLOOKUP($A20,'Pre-Assessment Estimator'!$A$10:$Z$224,P$2,FALSE))</f>
        <v/>
      </c>
      <c r="Q20" s="584" t="str">
        <f>IF(VLOOKUP($A20,'Pre-Assessment Estimator'!$A$10:$Z$224,Q$2,FALSE)=0,"",VLOOKUP($A20,'Pre-Assessment Estimator'!$A$10:$Z$224,Q$2,FALSE))</f>
        <v/>
      </c>
      <c r="R20" s="585" t="str">
        <f>IF(VLOOKUP($A20,'Pre-Assessment Estimator'!$A$10:$Z$224,R$2,FALSE)=0,"",VLOOKUP($A20,'Pre-Assessment Estimator'!$A$10:$Z$224,R$2,FALSE))</f>
        <v/>
      </c>
      <c r="S20" s="588"/>
      <c r="T20" s="587" t="str">
        <f>IF(VLOOKUP($A20,'Pre-Assessment Estimator'!$A$10:$Z$224,T$2,FALSE)=0,"",VLOOKUP($A20,'Pre-Assessment Estimator'!$A$10:$Z$224,T$2,FALSE))</f>
        <v/>
      </c>
      <c r="U20" s="582" t="str">
        <f>VLOOKUP($A20,'Pre-Assessment Estimator'!$A$10:$Z$224,U$2,FALSE)</f>
        <v>0 c. 0 %</v>
      </c>
      <c r="V20" s="581" t="str">
        <f>VLOOKUP($A20,'Pre-Assessment Estimator'!$A$10:$Z$224,V$2,FALSE)</f>
        <v>N/A</v>
      </c>
      <c r="W20" s="584" t="str">
        <f>IF(VLOOKUP($A20,'Pre-Assessment Estimator'!$A$10:$Z$224,W$2,FALSE)=0,"",VLOOKUP($A20,'Pre-Assessment Estimator'!$A$10:$Z$224,W$2,FALSE))</f>
        <v/>
      </c>
      <c r="X20" s="584" t="str">
        <f>IF(VLOOKUP($A20,'Pre-Assessment Estimator'!$A$10:$Z$224,X$2,FALSE)=0,"",VLOOKUP($A20,'Pre-Assessment Estimator'!$A$10:$Z$224,X$2,FALSE))</f>
        <v/>
      </c>
      <c r="Y20" s="370" t="str">
        <f>IF(VLOOKUP($A20,'Pre-Assessment Estimator'!$A$10:$Z$224,Y$2,FALSE)=0,"",VLOOKUP($A20,'Pre-Assessment Estimator'!$A$10:$Z$224,Y$2,FALSE))</f>
        <v/>
      </c>
      <c r="Z20" s="705"/>
      <c r="AA20" s="584"/>
      <c r="AE20" s="386">
        <f t="shared" si="0"/>
        <v>1</v>
      </c>
      <c r="AF20" s="95" t="e">
        <f>VLOOKUP(J20,'Assessment Details'!$O$45:$P$48,2,FALSE)</f>
        <v>#N/A</v>
      </c>
      <c r="AG20" s="95" t="e">
        <f>VLOOKUP(Q20,'Assessment Details'!$O$45:$P$48,2,FALSE)</f>
        <v>#N/A</v>
      </c>
      <c r="AH20" s="95" t="e">
        <f>VLOOKUP(X20,'Assessment Details'!$O$45:$P$48,2,FALSE)</f>
        <v>#N/A</v>
      </c>
      <c r="AI20" s="414"/>
      <c r="AN20" s="413"/>
    </row>
    <row r="21" spans="1:40" x14ac:dyDescent="0.25">
      <c r="A21" s="836">
        <v>12</v>
      </c>
      <c r="B21" s="1262"/>
      <c r="C21" s="1262"/>
      <c r="D21" s="340" t="str">
        <f>VLOOKUP($A21,'Pre-Assessment Estimator'!$A$10:$Z$224,D$2,FALSE)</f>
        <v>Environmental managment</v>
      </c>
      <c r="E21" s="581">
        <f>VLOOKUP($A21,'Pre-Assessment Estimator'!$A$10:$Z$224,E$2,FALSE)</f>
        <v>1</v>
      </c>
      <c r="F21" s="587" t="str">
        <f>IF(VLOOKUP($A21,'Pre-Assessment Estimator'!$A$10:$Z$224,F$2,FALSE)=0,"",VLOOKUP($A21,'Pre-Assessment Estimator'!$A$10:$Z$224,F$2,FALSE))</f>
        <v/>
      </c>
      <c r="G21" s="582">
        <f>VLOOKUP($A21,'Pre-Assessment Estimator'!$A$10:$Z$224,G$2,FALSE)</f>
        <v>0</v>
      </c>
      <c r="H21" s="581" t="str">
        <f>VLOOKUP($A21,'Pre-Assessment Estimator'!$A$10:$Z$224,H$2,FALSE)</f>
        <v>N/A</v>
      </c>
      <c r="I21" s="584" t="str">
        <f>IF(VLOOKUP($A21,'Pre-Assessment Estimator'!$A$10:$Z$224,I$2,FALSE)=0,"",VLOOKUP($A21,'Pre-Assessment Estimator'!$A$10:$Z$224,I$2,FALSE))</f>
        <v/>
      </c>
      <c r="J21" s="584" t="str">
        <f>IF(VLOOKUP($A21,'Pre-Assessment Estimator'!$A$10:$Z$224,J$2,FALSE)=0,"",VLOOKUP($A21,'Pre-Assessment Estimator'!$A$10:$Z$224,J$2,FALSE))</f>
        <v/>
      </c>
      <c r="K21" s="585" t="str">
        <f>IF(VLOOKUP($A21,'Pre-Assessment Estimator'!$A$10:$Z$224,K$2,FALSE)=0,"",VLOOKUP($A21,'Pre-Assessment Estimator'!$A$10:$Z$224,K$2,FALSE))</f>
        <v/>
      </c>
      <c r="L21" s="586"/>
      <c r="M21" s="587" t="str">
        <f>IF(VLOOKUP($A21,'Pre-Assessment Estimator'!$A$10:$Z$224,M$2,FALSE)=0,"",VLOOKUP($A21,'Pre-Assessment Estimator'!$A$10:$Z$224,M$2,FALSE))</f>
        <v/>
      </c>
      <c r="N21" s="582">
        <f>VLOOKUP($A21,'Pre-Assessment Estimator'!$A$10:$Z$224,N$2,FALSE)</f>
        <v>0</v>
      </c>
      <c r="O21" s="581" t="str">
        <f>VLOOKUP($A21,'Pre-Assessment Estimator'!$A$10:$Z$224,O$2,FALSE)</f>
        <v>N/A</v>
      </c>
      <c r="P21" s="584" t="str">
        <f>IF(VLOOKUP($A21,'Pre-Assessment Estimator'!$A$10:$Z$224,P$2,FALSE)=0,"",VLOOKUP($A21,'Pre-Assessment Estimator'!$A$10:$Z$224,P$2,FALSE))</f>
        <v/>
      </c>
      <c r="Q21" s="584" t="str">
        <f>IF(VLOOKUP($A21,'Pre-Assessment Estimator'!$A$10:$Z$224,Q$2,FALSE)=0,"",VLOOKUP($A21,'Pre-Assessment Estimator'!$A$10:$Z$224,Q$2,FALSE))</f>
        <v/>
      </c>
      <c r="R21" s="585" t="str">
        <f>IF(VLOOKUP($A21,'Pre-Assessment Estimator'!$A$10:$Z$224,R$2,FALSE)=0,"",VLOOKUP($A21,'Pre-Assessment Estimator'!$A$10:$Z$224,R$2,FALSE))</f>
        <v/>
      </c>
      <c r="S21" s="588"/>
      <c r="T21" s="587" t="str">
        <f>IF(VLOOKUP($A21,'Pre-Assessment Estimator'!$A$10:$Z$224,T$2,FALSE)=0,"",VLOOKUP($A21,'Pre-Assessment Estimator'!$A$10:$Z$224,T$2,FALSE))</f>
        <v/>
      </c>
      <c r="U21" s="582">
        <f>VLOOKUP($A21,'Pre-Assessment Estimator'!$A$10:$Z$224,U$2,FALSE)</f>
        <v>0</v>
      </c>
      <c r="V21" s="581" t="str">
        <f>VLOOKUP($A21,'Pre-Assessment Estimator'!$A$10:$Z$224,V$2,FALSE)</f>
        <v>N/A</v>
      </c>
      <c r="W21" s="584" t="str">
        <f>IF(VLOOKUP($A21,'Pre-Assessment Estimator'!$A$10:$Z$224,W$2,FALSE)=0,"",VLOOKUP($A21,'Pre-Assessment Estimator'!$A$10:$Z$224,W$2,FALSE))</f>
        <v/>
      </c>
      <c r="X21" s="584" t="str">
        <f>IF(VLOOKUP($A21,'Pre-Assessment Estimator'!$A$10:$Z$224,X$2,FALSE)=0,"",VLOOKUP($A21,'Pre-Assessment Estimator'!$A$10:$Z$224,X$2,FALSE))</f>
        <v/>
      </c>
      <c r="Y21" s="370" t="str">
        <f>IF(VLOOKUP($A21,'Pre-Assessment Estimator'!$A$10:$Z$224,Y$2,FALSE)=0,"",VLOOKUP($A21,'Pre-Assessment Estimator'!$A$10:$Z$224,Y$2,FALSE))</f>
        <v/>
      </c>
      <c r="Z21" s="705"/>
      <c r="AA21" s="584"/>
      <c r="AE21" s="386">
        <f t="shared" si="0"/>
        <v>1</v>
      </c>
      <c r="AF21" s="95" t="e">
        <f>VLOOKUP(J21,'Assessment Details'!$O$45:$P$48,2,FALSE)</f>
        <v>#N/A</v>
      </c>
      <c r="AG21" s="95" t="e">
        <f>VLOOKUP(Q21,'Assessment Details'!$O$45:$P$48,2,FALSE)</f>
        <v>#N/A</v>
      </c>
      <c r="AH21" s="95" t="e">
        <f>VLOOKUP(X21,'Assessment Details'!$O$45:$P$48,2,FALSE)</f>
        <v>#N/A</v>
      </c>
      <c r="AI21" s="414"/>
      <c r="AN21" s="413"/>
    </row>
    <row r="22" spans="1:40" ht="30" x14ac:dyDescent="0.25">
      <c r="A22" s="836">
        <v>13</v>
      </c>
      <c r="B22" s="1262"/>
      <c r="C22" s="1262"/>
      <c r="D22" s="340" t="str">
        <f>VLOOKUP($A22,'Pre-Assessment Estimator'!$A$10:$Z$224,D$2,FALSE)</f>
        <v>BREEAM-NOR AP and BREEAM performance targets (stage 5 and 6)</v>
      </c>
      <c r="E22" s="581">
        <f>VLOOKUP($A22,'Pre-Assessment Estimator'!$A$10:$Z$224,E$2,FALSE)</f>
        <v>1</v>
      </c>
      <c r="F22" s="587" t="str">
        <f>IF(VLOOKUP($A22,'Pre-Assessment Estimator'!$A$10:$Z$224,F$2,FALSE)=0,"",VLOOKUP($A22,'Pre-Assessment Estimator'!$A$10:$Z$224,F$2,FALSE))</f>
        <v/>
      </c>
      <c r="G22" s="582">
        <f>VLOOKUP($A22,'Pre-Assessment Estimator'!$A$10:$Z$224,G$2,FALSE)</f>
        <v>0</v>
      </c>
      <c r="H22" s="581" t="str">
        <f>VLOOKUP($A22,'Pre-Assessment Estimator'!$A$10:$Z$224,H$2,FALSE)</f>
        <v>N/A</v>
      </c>
      <c r="I22" s="584" t="str">
        <f>IF(VLOOKUP($A22,'Pre-Assessment Estimator'!$A$10:$Z$224,I$2,FALSE)=0,"",VLOOKUP($A22,'Pre-Assessment Estimator'!$A$10:$Z$224,I$2,FALSE))</f>
        <v/>
      </c>
      <c r="J22" s="584" t="str">
        <f>IF(VLOOKUP($A22,'Pre-Assessment Estimator'!$A$10:$Z$224,J$2,FALSE)=0,"",VLOOKUP($A22,'Pre-Assessment Estimator'!$A$10:$Z$224,J$2,FALSE))</f>
        <v/>
      </c>
      <c r="K22" s="585" t="str">
        <f>IF(VLOOKUP($A22,'Pre-Assessment Estimator'!$A$10:$Z$224,K$2,FALSE)=0,"",VLOOKUP($A22,'Pre-Assessment Estimator'!$A$10:$Z$224,K$2,FALSE))</f>
        <v/>
      </c>
      <c r="L22" s="586"/>
      <c r="M22" s="587" t="str">
        <f>IF(VLOOKUP($A22,'Pre-Assessment Estimator'!$A$10:$Z$224,M$2,FALSE)=0,"",VLOOKUP($A22,'Pre-Assessment Estimator'!$A$10:$Z$224,M$2,FALSE))</f>
        <v/>
      </c>
      <c r="N22" s="582">
        <f>VLOOKUP($A22,'Pre-Assessment Estimator'!$A$10:$Z$224,N$2,FALSE)</f>
        <v>0</v>
      </c>
      <c r="O22" s="581" t="str">
        <f>VLOOKUP($A22,'Pre-Assessment Estimator'!$A$10:$Z$224,O$2,FALSE)</f>
        <v>N/A</v>
      </c>
      <c r="P22" s="584" t="str">
        <f>IF(VLOOKUP($A22,'Pre-Assessment Estimator'!$A$10:$Z$224,P$2,FALSE)=0,"",VLOOKUP($A22,'Pre-Assessment Estimator'!$A$10:$Z$224,P$2,FALSE))</f>
        <v/>
      </c>
      <c r="Q22" s="584" t="str">
        <f>IF(VLOOKUP($A22,'Pre-Assessment Estimator'!$A$10:$Z$224,Q$2,FALSE)=0,"",VLOOKUP($A22,'Pre-Assessment Estimator'!$A$10:$Z$224,Q$2,FALSE))</f>
        <v/>
      </c>
      <c r="R22" s="585" t="str">
        <f>IF(VLOOKUP($A22,'Pre-Assessment Estimator'!$A$10:$Z$224,R$2,FALSE)=0,"",VLOOKUP($A22,'Pre-Assessment Estimator'!$A$10:$Z$224,R$2,FALSE))</f>
        <v/>
      </c>
      <c r="S22" s="588"/>
      <c r="T22" s="587" t="str">
        <f>IF(VLOOKUP($A22,'Pre-Assessment Estimator'!$A$10:$Z$224,T$2,FALSE)=0,"",VLOOKUP($A22,'Pre-Assessment Estimator'!$A$10:$Z$224,T$2,FALSE))</f>
        <v/>
      </c>
      <c r="U22" s="582">
        <f>VLOOKUP($A22,'Pre-Assessment Estimator'!$A$10:$Z$224,U$2,FALSE)</f>
        <v>0</v>
      </c>
      <c r="V22" s="581" t="str">
        <f>VLOOKUP($A22,'Pre-Assessment Estimator'!$A$10:$Z$224,V$2,FALSE)</f>
        <v>N/A</v>
      </c>
      <c r="W22" s="584" t="str">
        <f>IF(VLOOKUP($A22,'Pre-Assessment Estimator'!$A$10:$Z$224,W$2,FALSE)=0,"",VLOOKUP($A22,'Pre-Assessment Estimator'!$A$10:$Z$224,W$2,FALSE))</f>
        <v/>
      </c>
      <c r="X22" s="584" t="str">
        <f>IF(VLOOKUP($A22,'Pre-Assessment Estimator'!$A$10:$Z$224,X$2,FALSE)=0,"",VLOOKUP($A22,'Pre-Assessment Estimator'!$A$10:$Z$224,X$2,FALSE))</f>
        <v/>
      </c>
      <c r="Y22" s="370" t="str">
        <f>IF(VLOOKUP($A22,'Pre-Assessment Estimator'!$A$10:$Z$224,Y$2,FALSE)=0,"",VLOOKUP($A22,'Pre-Assessment Estimator'!$A$10:$Z$224,Y$2,FALSE))</f>
        <v/>
      </c>
      <c r="Z22" s="705"/>
      <c r="AA22" s="584"/>
      <c r="AE22" s="386">
        <f t="shared" si="0"/>
        <v>1</v>
      </c>
      <c r="AF22" s="95" t="e">
        <f>VLOOKUP(J22,'Assessment Details'!$O$45:$P$48,2,FALSE)</f>
        <v>#N/A</v>
      </c>
      <c r="AG22" s="95" t="e">
        <f>VLOOKUP(Q22,'Assessment Details'!$O$45:$P$48,2,FALSE)</f>
        <v>#N/A</v>
      </c>
      <c r="AH22" s="95" t="e">
        <f>VLOOKUP(X22,'Assessment Details'!$O$45:$P$48,2,FALSE)</f>
        <v>#N/A</v>
      </c>
      <c r="AI22" s="414"/>
      <c r="AN22" s="413"/>
    </row>
    <row r="23" spans="1:40" ht="30" x14ac:dyDescent="0.25">
      <c r="A23" s="836">
        <v>14</v>
      </c>
      <c r="B23" s="1262"/>
      <c r="C23" s="1262"/>
      <c r="D23" s="340" t="str">
        <f>VLOOKUP($A23,'Pre-Assessment Estimator'!$A$10:$Z$224,D$2,FALSE)</f>
        <v>Considerate contruction: clean and tidy building process and checklist A1</v>
      </c>
      <c r="E23" s="581">
        <f>VLOOKUP($A23,'Pre-Assessment Estimator'!$A$10:$Z$224,E$2,FALSE)</f>
        <v>1</v>
      </c>
      <c r="F23" s="587" t="str">
        <f>IF(VLOOKUP($A23,'Pre-Assessment Estimator'!$A$10:$Z$224,F$2,FALSE)=0,"",VLOOKUP($A23,'Pre-Assessment Estimator'!$A$10:$Z$224,F$2,FALSE))</f>
        <v/>
      </c>
      <c r="G23" s="582">
        <f>VLOOKUP($A23,'Pre-Assessment Estimator'!$A$10:$Z$224,G$2,FALSE)</f>
        <v>0</v>
      </c>
      <c r="H23" s="581" t="str">
        <f>VLOOKUP($A23,'Pre-Assessment Estimator'!$A$10:$Z$224,H$2,FALSE)</f>
        <v>Unclassified</v>
      </c>
      <c r="I23" s="584" t="str">
        <f>IF(VLOOKUP($A23,'Pre-Assessment Estimator'!$A$10:$Z$224,I$2,FALSE)=0,"",VLOOKUP($A23,'Pre-Assessment Estimator'!$A$10:$Z$224,I$2,FALSE))</f>
        <v/>
      </c>
      <c r="J23" s="584" t="str">
        <f>IF(VLOOKUP($A23,'Pre-Assessment Estimator'!$A$10:$Z$224,J$2,FALSE)=0,"",VLOOKUP($A23,'Pre-Assessment Estimator'!$A$10:$Z$224,J$2,FALSE))</f>
        <v/>
      </c>
      <c r="K23" s="585" t="str">
        <f>IF(VLOOKUP($A23,'Pre-Assessment Estimator'!$A$10:$Z$224,K$2,FALSE)=0,"",VLOOKUP($A23,'Pre-Assessment Estimator'!$A$10:$Z$224,K$2,FALSE))</f>
        <v/>
      </c>
      <c r="L23" s="586"/>
      <c r="M23" s="587" t="str">
        <f>IF(VLOOKUP($A23,'Pre-Assessment Estimator'!$A$10:$Z$224,M$2,FALSE)=0,"",VLOOKUP($A23,'Pre-Assessment Estimator'!$A$10:$Z$224,M$2,FALSE))</f>
        <v/>
      </c>
      <c r="N23" s="582">
        <f>VLOOKUP($A23,'Pre-Assessment Estimator'!$A$10:$Z$224,N$2,FALSE)</f>
        <v>0</v>
      </c>
      <c r="O23" s="581" t="str">
        <f>VLOOKUP($A23,'Pre-Assessment Estimator'!$A$10:$Z$224,O$2,FALSE)</f>
        <v>Unclassified</v>
      </c>
      <c r="P23" s="584" t="str">
        <f>IF(VLOOKUP($A23,'Pre-Assessment Estimator'!$A$10:$Z$224,P$2,FALSE)=0,"",VLOOKUP($A23,'Pre-Assessment Estimator'!$A$10:$Z$224,P$2,FALSE))</f>
        <v/>
      </c>
      <c r="Q23" s="584" t="str">
        <f>IF(VLOOKUP($A23,'Pre-Assessment Estimator'!$A$10:$Z$224,Q$2,FALSE)=0,"",VLOOKUP($A23,'Pre-Assessment Estimator'!$A$10:$Z$224,Q$2,FALSE))</f>
        <v/>
      </c>
      <c r="R23" s="585" t="str">
        <f>IF(VLOOKUP($A23,'Pre-Assessment Estimator'!$A$10:$Z$224,R$2,FALSE)=0,"",VLOOKUP($A23,'Pre-Assessment Estimator'!$A$10:$Z$224,R$2,FALSE))</f>
        <v/>
      </c>
      <c r="S23" s="588"/>
      <c r="T23" s="587" t="str">
        <f>IF(VLOOKUP($A23,'Pre-Assessment Estimator'!$A$10:$Z$224,T$2,FALSE)=0,"",VLOOKUP($A23,'Pre-Assessment Estimator'!$A$10:$Z$224,T$2,FALSE))</f>
        <v/>
      </c>
      <c r="U23" s="582">
        <f>VLOOKUP($A23,'Pre-Assessment Estimator'!$A$10:$Z$224,U$2,FALSE)</f>
        <v>0</v>
      </c>
      <c r="V23" s="581" t="str">
        <f>VLOOKUP($A23,'Pre-Assessment Estimator'!$A$10:$Z$224,V$2,FALSE)</f>
        <v>Unclassified</v>
      </c>
      <c r="W23" s="584" t="str">
        <f>IF(VLOOKUP($A23,'Pre-Assessment Estimator'!$A$10:$Z$224,W$2,FALSE)=0,"",VLOOKUP($A23,'Pre-Assessment Estimator'!$A$10:$Z$224,W$2,FALSE))</f>
        <v/>
      </c>
      <c r="X23" s="584" t="str">
        <f>IF(VLOOKUP($A23,'Pre-Assessment Estimator'!$A$10:$Z$224,X$2,FALSE)=0,"",VLOOKUP($A23,'Pre-Assessment Estimator'!$A$10:$Z$224,X$2,FALSE))</f>
        <v/>
      </c>
      <c r="Y23" s="370" t="str">
        <f>IF(VLOOKUP($A23,'Pre-Assessment Estimator'!$A$10:$Z$224,Y$2,FALSE)=0,"",VLOOKUP($A23,'Pre-Assessment Estimator'!$A$10:$Z$224,Y$2,FALSE))</f>
        <v/>
      </c>
      <c r="Z23" s="705"/>
      <c r="AA23" s="584"/>
      <c r="AE23" s="386">
        <f t="shared" si="0"/>
        <v>1</v>
      </c>
      <c r="AF23" s="95" t="e">
        <f>VLOOKUP(J23,'Assessment Details'!$O$45:$P$48,2,FALSE)</f>
        <v>#N/A</v>
      </c>
      <c r="AG23" s="95" t="e">
        <f>VLOOKUP(Q23,'Assessment Details'!$O$45:$P$48,2,FALSE)</f>
        <v>#N/A</v>
      </c>
      <c r="AH23" s="95" t="e">
        <f>VLOOKUP(X23,'Assessment Details'!$O$45:$P$48,2,FALSE)</f>
        <v>#N/A</v>
      </c>
      <c r="AI23" s="414"/>
      <c r="AN23" s="413"/>
    </row>
    <row r="24" spans="1:40" x14ac:dyDescent="0.25">
      <c r="A24" s="836">
        <v>15</v>
      </c>
      <c r="B24" s="1262"/>
      <c r="C24" s="1262"/>
      <c r="D24" s="340" t="str">
        <f>VLOOKUP($A24,'Pre-Assessment Estimator'!$A$10:$Z$224,D$2,FALSE)</f>
        <v>Considerate contruction: INSTA 800 and checklist A1</v>
      </c>
      <c r="E24" s="581">
        <f>VLOOKUP($A24,'Pre-Assessment Estimator'!$A$10:$Z$224,E$2,FALSE)</f>
        <v>1</v>
      </c>
      <c r="F24" s="587" t="str">
        <f>IF(VLOOKUP($A24,'Pre-Assessment Estimator'!$A$10:$Z$224,F$2,FALSE)=0,"",VLOOKUP($A24,'Pre-Assessment Estimator'!$A$10:$Z$224,F$2,FALSE))</f>
        <v/>
      </c>
      <c r="G24" s="582">
        <f>VLOOKUP($A24,'Pre-Assessment Estimator'!$A$10:$Z$224,G$2,FALSE)</f>
        <v>0</v>
      </c>
      <c r="H24" s="581" t="str">
        <f>VLOOKUP($A24,'Pre-Assessment Estimator'!$A$10:$Z$224,H$2,FALSE)</f>
        <v>Good</v>
      </c>
      <c r="I24" s="584" t="str">
        <f>IF(VLOOKUP($A24,'Pre-Assessment Estimator'!$A$10:$Z$224,I$2,FALSE)=0,"",VLOOKUP($A24,'Pre-Assessment Estimator'!$A$10:$Z$224,I$2,FALSE))</f>
        <v/>
      </c>
      <c r="J24" s="584" t="str">
        <f>IF(VLOOKUP($A24,'Pre-Assessment Estimator'!$A$10:$Z$224,J$2,FALSE)=0,"",VLOOKUP($A24,'Pre-Assessment Estimator'!$A$10:$Z$224,J$2,FALSE))</f>
        <v/>
      </c>
      <c r="K24" s="585" t="str">
        <f>IF(VLOOKUP($A24,'Pre-Assessment Estimator'!$A$10:$Z$224,K$2,FALSE)=0,"",VLOOKUP($A24,'Pre-Assessment Estimator'!$A$10:$Z$224,K$2,FALSE))</f>
        <v/>
      </c>
      <c r="L24" s="586"/>
      <c r="M24" s="587" t="str">
        <f>IF(VLOOKUP($A24,'Pre-Assessment Estimator'!$A$10:$Z$224,M$2,FALSE)=0,"",VLOOKUP($A24,'Pre-Assessment Estimator'!$A$10:$Z$224,M$2,FALSE))</f>
        <v/>
      </c>
      <c r="N24" s="582">
        <f>VLOOKUP($A24,'Pre-Assessment Estimator'!$A$10:$Z$224,N$2,FALSE)</f>
        <v>0</v>
      </c>
      <c r="O24" s="581" t="str">
        <f>VLOOKUP($A24,'Pre-Assessment Estimator'!$A$10:$Z$224,O$2,FALSE)</f>
        <v>Good</v>
      </c>
      <c r="P24" s="584" t="str">
        <f>IF(VLOOKUP($A24,'Pre-Assessment Estimator'!$A$10:$Z$224,P$2,FALSE)=0,"",VLOOKUP($A24,'Pre-Assessment Estimator'!$A$10:$Z$224,P$2,FALSE))</f>
        <v/>
      </c>
      <c r="Q24" s="584" t="str">
        <f>IF(VLOOKUP($A24,'Pre-Assessment Estimator'!$A$10:$Z$224,Q$2,FALSE)=0,"",VLOOKUP($A24,'Pre-Assessment Estimator'!$A$10:$Z$224,Q$2,FALSE))</f>
        <v/>
      </c>
      <c r="R24" s="585" t="str">
        <f>IF(VLOOKUP($A24,'Pre-Assessment Estimator'!$A$10:$Z$224,R$2,FALSE)=0,"",VLOOKUP($A24,'Pre-Assessment Estimator'!$A$10:$Z$224,R$2,FALSE))</f>
        <v/>
      </c>
      <c r="S24" s="588"/>
      <c r="T24" s="587" t="str">
        <f>IF(VLOOKUP($A24,'Pre-Assessment Estimator'!$A$10:$Z$224,T$2,FALSE)=0,"",VLOOKUP($A24,'Pre-Assessment Estimator'!$A$10:$Z$224,T$2,FALSE))</f>
        <v/>
      </c>
      <c r="U24" s="582">
        <f>VLOOKUP($A24,'Pre-Assessment Estimator'!$A$10:$Z$224,U$2,FALSE)</f>
        <v>0</v>
      </c>
      <c r="V24" s="581" t="str">
        <f>VLOOKUP($A24,'Pre-Assessment Estimator'!$A$10:$Z$224,V$2,FALSE)</f>
        <v>Good</v>
      </c>
      <c r="W24" s="584" t="str">
        <f>IF(VLOOKUP($A24,'Pre-Assessment Estimator'!$A$10:$Z$224,W$2,FALSE)=0,"",VLOOKUP($A24,'Pre-Assessment Estimator'!$A$10:$Z$224,W$2,FALSE))</f>
        <v/>
      </c>
      <c r="X24" s="584" t="str">
        <f>IF(VLOOKUP($A24,'Pre-Assessment Estimator'!$A$10:$Z$224,X$2,FALSE)=0,"",VLOOKUP($A24,'Pre-Assessment Estimator'!$A$10:$Z$224,X$2,FALSE))</f>
        <v/>
      </c>
      <c r="Y24" s="370" t="str">
        <f>IF(VLOOKUP($A24,'Pre-Assessment Estimator'!$A$10:$Z$224,Y$2,FALSE)=0,"",VLOOKUP($A24,'Pre-Assessment Estimator'!$A$10:$Z$224,Y$2,FALSE))</f>
        <v/>
      </c>
      <c r="Z24" s="705"/>
      <c r="AA24" s="584"/>
      <c r="AE24" s="386">
        <f t="shared" si="0"/>
        <v>1</v>
      </c>
      <c r="AF24" s="95" t="e">
        <f>VLOOKUP(J24,'Assessment Details'!$O$45:$P$48,2,FALSE)</f>
        <v>#N/A</v>
      </c>
      <c r="AG24" s="95" t="e">
        <f>VLOOKUP(Q24,'Assessment Details'!$O$45:$P$48,2,FALSE)</f>
        <v>#N/A</v>
      </c>
      <c r="AH24" s="95" t="e">
        <f>VLOOKUP(X24,'Assessment Details'!$O$45:$P$48,2,FALSE)</f>
        <v>#N/A</v>
      </c>
      <c r="AI24" s="414"/>
      <c r="AN24" s="413"/>
    </row>
    <row r="25" spans="1:40" ht="30" x14ac:dyDescent="0.25">
      <c r="A25" s="836">
        <v>16</v>
      </c>
      <c r="B25" s="1262"/>
      <c r="C25" s="1262"/>
      <c r="D25" s="340" t="str">
        <f>VLOOKUP($A25,'Pre-Assessment Estimator'!$A$10:$Z$224,D$2,FALSE)</f>
        <v>Energy consumption from activities on the construction site (step 2-4)</v>
      </c>
      <c r="E25" s="581">
        <f>VLOOKUP($A25,'Pre-Assessment Estimator'!$A$10:$Z$224,E$2,FALSE)</f>
        <v>1</v>
      </c>
      <c r="F25" s="587" t="str">
        <f>IF(VLOOKUP($A25,'Pre-Assessment Estimator'!$A$10:$Z$224,F$2,FALSE)=0,"",VLOOKUP($A25,'Pre-Assessment Estimator'!$A$10:$Z$224,F$2,FALSE))</f>
        <v/>
      </c>
      <c r="G25" s="582">
        <f>VLOOKUP($A25,'Pre-Assessment Estimator'!$A$10:$Z$224,G$2,FALSE)</f>
        <v>0</v>
      </c>
      <c r="H25" s="581" t="str">
        <f>VLOOKUP($A25,'Pre-Assessment Estimator'!$A$10:$Z$224,H$2,FALSE)</f>
        <v>Very Good</v>
      </c>
      <c r="I25" s="584" t="str">
        <f>IF(VLOOKUP($A25,'Pre-Assessment Estimator'!$A$10:$Z$224,I$2,FALSE)=0,"",VLOOKUP($A25,'Pre-Assessment Estimator'!$A$10:$Z$224,I$2,FALSE))</f>
        <v/>
      </c>
      <c r="J25" s="584" t="str">
        <f>IF(VLOOKUP($A25,'Pre-Assessment Estimator'!$A$10:$Z$224,J$2,FALSE)=0,"",VLOOKUP($A25,'Pre-Assessment Estimator'!$A$10:$Z$224,J$2,FALSE))</f>
        <v/>
      </c>
      <c r="K25" s="585" t="str">
        <f>IF(VLOOKUP($A25,'Pre-Assessment Estimator'!$A$10:$Z$224,K$2,FALSE)=0,"",VLOOKUP($A25,'Pre-Assessment Estimator'!$A$10:$Z$224,K$2,FALSE))</f>
        <v/>
      </c>
      <c r="L25" s="586"/>
      <c r="M25" s="587" t="str">
        <f>IF(VLOOKUP($A25,'Pre-Assessment Estimator'!$A$10:$Z$224,M$2,FALSE)=0,"",VLOOKUP($A25,'Pre-Assessment Estimator'!$A$10:$Z$224,M$2,FALSE))</f>
        <v/>
      </c>
      <c r="N25" s="582">
        <f>VLOOKUP($A25,'Pre-Assessment Estimator'!$A$10:$Z$224,N$2,FALSE)</f>
        <v>0</v>
      </c>
      <c r="O25" s="581" t="str">
        <f>VLOOKUP($A25,'Pre-Assessment Estimator'!$A$10:$Z$224,O$2,FALSE)</f>
        <v>Very Good</v>
      </c>
      <c r="P25" s="584" t="str">
        <f>IF(VLOOKUP($A25,'Pre-Assessment Estimator'!$A$10:$Z$224,P$2,FALSE)=0,"",VLOOKUP($A25,'Pre-Assessment Estimator'!$A$10:$Z$224,P$2,FALSE))</f>
        <v/>
      </c>
      <c r="Q25" s="584" t="str">
        <f>IF(VLOOKUP($A25,'Pre-Assessment Estimator'!$A$10:$Z$224,Q$2,FALSE)=0,"",VLOOKUP($A25,'Pre-Assessment Estimator'!$A$10:$Z$224,Q$2,FALSE))</f>
        <v/>
      </c>
      <c r="R25" s="585" t="str">
        <f>IF(VLOOKUP($A25,'Pre-Assessment Estimator'!$A$10:$Z$224,R$2,FALSE)=0,"",VLOOKUP($A25,'Pre-Assessment Estimator'!$A$10:$Z$224,R$2,FALSE))</f>
        <v/>
      </c>
      <c r="S25" s="588"/>
      <c r="T25" s="587" t="str">
        <f>IF(VLOOKUP($A25,'Pre-Assessment Estimator'!$A$10:$Z$224,T$2,FALSE)=0,"",VLOOKUP($A25,'Pre-Assessment Estimator'!$A$10:$Z$224,T$2,FALSE))</f>
        <v/>
      </c>
      <c r="U25" s="582">
        <f>VLOOKUP($A25,'Pre-Assessment Estimator'!$A$10:$Z$224,U$2,FALSE)</f>
        <v>0</v>
      </c>
      <c r="V25" s="581" t="str">
        <f>VLOOKUP($A25,'Pre-Assessment Estimator'!$A$10:$Z$224,V$2,FALSE)</f>
        <v>Very Good</v>
      </c>
      <c r="W25" s="584" t="str">
        <f>IF(VLOOKUP($A25,'Pre-Assessment Estimator'!$A$10:$Z$224,W$2,FALSE)=0,"",VLOOKUP($A25,'Pre-Assessment Estimator'!$A$10:$Z$224,W$2,FALSE))</f>
        <v/>
      </c>
      <c r="X25" s="584" t="str">
        <f>IF(VLOOKUP($A25,'Pre-Assessment Estimator'!$A$10:$Z$224,X$2,FALSE)=0,"",VLOOKUP($A25,'Pre-Assessment Estimator'!$A$10:$Z$224,X$2,FALSE))</f>
        <v/>
      </c>
      <c r="Y25" s="370" t="str">
        <f>IF(VLOOKUP($A25,'Pre-Assessment Estimator'!$A$10:$Z$224,Y$2,FALSE)=0,"",VLOOKUP($A25,'Pre-Assessment Estimator'!$A$10:$Z$224,Y$2,FALSE))</f>
        <v/>
      </c>
      <c r="Z25" s="705"/>
      <c r="AA25" s="584"/>
      <c r="AE25" s="386">
        <f t="shared" si="0"/>
        <v>1</v>
      </c>
      <c r="AF25" s="95" t="e">
        <f>VLOOKUP(J25,'Assessment Details'!$O$45:$P$48,2,FALSE)</f>
        <v>#N/A</v>
      </c>
      <c r="AG25" s="95" t="e">
        <f>VLOOKUP(Q25,'Assessment Details'!$O$45:$P$48,2,FALSE)</f>
        <v>#N/A</v>
      </c>
      <c r="AH25" s="95" t="e">
        <f>VLOOKUP(X25,'Assessment Details'!$O$45:$P$48,2,FALSE)</f>
        <v>#N/A</v>
      </c>
      <c r="AI25" s="414"/>
      <c r="AN25" s="413"/>
    </row>
    <row r="26" spans="1:40" ht="30" x14ac:dyDescent="0.25">
      <c r="A26" s="836">
        <v>17</v>
      </c>
      <c r="B26" s="1262"/>
      <c r="C26" s="1262"/>
      <c r="D26" s="340" t="str">
        <f>VLOOKUP($A26,'Pre-Assessment Estimator'!$A$10:$Z$224,D$2,FALSE)</f>
        <v>Energy consumption from transport of masses and waste (step 2-4)</v>
      </c>
      <c r="E26" s="581">
        <f>VLOOKUP($A26,'Pre-Assessment Estimator'!$A$10:$Z$224,E$2,FALSE)</f>
        <v>2</v>
      </c>
      <c r="F26" s="587" t="str">
        <f>IF(VLOOKUP($A26,'Pre-Assessment Estimator'!$A$10:$Z$224,F$2,FALSE)=0,"",VLOOKUP($A26,'Pre-Assessment Estimator'!$A$10:$Z$224,F$2,FALSE))</f>
        <v/>
      </c>
      <c r="G26" s="582">
        <f>VLOOKUP($A26,'Pre-Assessment Estimator'!$A$10:$Z$224,G$2,FALSE)</f>
        <v>0</v>
      </c>
      <c r="H26" s="581" t="str">
        <f>VLOOKUP($A26,'Pre-Assessment Estimator'!$A$10:$Z$224,H$2,FALSE)</f>
        <v>Very Good</v>
      </c>
      <c r="I26" s="584" t="str">
        <f>IF(VLOOKUP($A26,'Pre-Assessment Estimator'!$A$10:$Z$224,I$2,FALSE)=0,"",VLOOKUP($A26,'Pre-Assessment Estimator'!$A$10:$Z$224,I$2,FALSE))</f>
        <v/>
      </c>
      <c r="J26" s="584" t="str">
        <f>IF(VLOOKUP($A26,'Pre-Assessment Estimator'!$A$10:$Z$224,J$2,FALSE)=0,"",VLOOKUP($A26,'Pre-Assessment Estimator'!$A$10:$Z$224,J$2,FALSE))</f>
        <v/>
      </c>
      <c r="K26" s="585" t="str">
        <f>IF(VLOOKUP($A26,'Pre-Assessment Estimator'!$A$10:$Z$224,K$2,FALSE)=0,"",VLOOKUP($A26,'Pre-Assessment Estimator'!$A$10:$Z$224,K$2,FALSE))</f>
        <v/>
      </c>
      <c r="L26" s="586"/>
      <c r="M26" s="587" t="str">
        <f>IF(VLOOKUP($A26,'Pre-Assessment Estimator'!$A$10:$Z$224,M$2,FALSE)=0,"",VLOOKUP($A26,'Pre-Assessment Estimator'!$A$10:$Z$224,M$2,FALSE))</f>
        <v/>
      </c>
      <c r="N26" s="582">
        <f>VLOOKUP($A26,'Pre-Assessment Estimator'!$A$10:$Z$224,N$2,FALSE)</f>
        <v>0</v>
      </c>
      <c r="O26" s="581" t="str">
        <f>VLOOKUP($A26,'Pre-Assessment Estimator'!$A$10:$Z$224,O$2,FALSE)</f>
        <v>Very Good</v>
      </c>
      <c r="P26" s="584" t="str">
        <f>IF(VLOOKUP($A26,'Pre-Assessment Estimator'!$A$10:$Z$224,P$2,FALSE)=0,"",VLOOKUP($A26,'Pre-Assessment Estimator'!$A$10:$Z$224,P$2,FALSE))</f>
        <v/>
      </c>
      <c r="Q26" s="584" t="str">
        <f>IF(VLOOKUP($A26,'Pre-Assessment Estimator'!$A$10:$Z$224,Q$2,FALSE)=0,"",VLOOKUP($A26,'Pre-Assessment Estimator'!$A$10:$Z$224,Q$2,FALSE))</f>
        <v/>
      </c>
      <c r="R26" s="585" t="str">
        <f>IF(VLOOKUP($A26,'Pre-Assessment Estimator'!$A$10:$Z$224,R$2,FALSE)=0,"",VLOOKUP($A26,'Pre-Assessment Estimator'!$A$10:$Z$224,R$2,FALSE))</f>
        <v/>
      </c>
      <c r="S26" s="588"/>
      <c r="T26" s="587" t="str">
        <f>IF(VLOOKUP($A26,'Pre-Assessment Estimator'!$A$10:$Z$224,T$2,FALSE)=0,"",VLOOKUP($A26,'Pre-Assessment Estimator'!$A$10:$Z$224,T$2,FALSE))</f>
        <v/>
      </c>
      <c r="U26" s="582">
        <f>VLOOKUP($A26,'Pre-Assessment Estimator'!$A$10:$Z$224,U$2,FALSE)</f>
        <v>0</v>
      </c>
      <c r="V26" s="581" t="str">
        <f>VLOOKUP($A26,'Pre-Assessment Estimator'!$A$10:$Z$224,V$2,FALSE)</f>
        <v>Very Good</v>
      </c>
      <c r="W26" s="584" t="str">
        <f>IF(VLOOKUP($A26,'Pre-Assessment Estimator'!$A$10:$Z$224,W$2,FALSE)=0,"",VLOOKUP($A26,'Pre-Assessment Estimator'!$A$10:$Z$224,W$2,FALSE))</f>
        <v/>
      </c>
      <c r="X26" s="584" t="str">
        <f>IF(VLOOKUP($A26,'Pre-Assessment Estimator'!$A$10:$Z$224,X$2,FALSE)=0,"",VLOOKUP($A26,'Pre-Assessment Estimator'!$A$10:$Z$224,X$2,FALSE))</f>
        <v/>
      </c>
      <c r="Y26" s="370" t="str">
        <f>IF(VLOOKUP($A26,'Pre-Assessment Estimator'!$A$10:$Z$224,Y$2,FALSE)=0,"",VLOOKUP($A26,'Pre-Assessment Estimator'!$A$10:$Z$224,Y$2,FALSE))</f>
        <v/>
      </c>
      <c r="Z26" s="705"/>
      <c r="AA26" s="584"/>
      <c r="AE26" s="386">
        <f t="shared" si="0"/>
        <v>1</v>
      </c>
      <c r="AF26" s="95" t="e">
        <f>VLOOKUP(J26,'Assessment Details'!$O$45:$P$48,2,FALSE)</f>
        <v>#N/A</v>
      </c>
      <c r="AG26" s="95" t="e">
        <f>VLOOKUP(Q26,'Assessment Details'!$O$45:$P$48,2,FALSE)</f>
        <v>#N/A</v>
      </c>
      <c r="AH26" s="95" t="e">
        <f>VLOOKUP(X26,'Assessment Details'!$O$45:$P$48,2,FALSE)</f>
        <v>#N/A</v>
      </c>
      <c r="AI26" s="414"/>
      <c r="AN26" s="413"/>
    </row>
    <row r="27" spans="1:40" x14ac:dyDescent="0.25">
      <c r="A27" s="836">
        <v>18</v>
      </c>
      <c r="B27" s="1262"/>
      <c r="C27" s="1262"/>
      <c r="D27" s="993" t="str">
        <f>VLOOKUP($A27,'Pre-Assessment Estimator'!$A$10:$Z$224,D$2,FALSE)</f>
        <v>Man 04 Commissioning and handover</v>
      </c>
      <c r="E27" s="581">
        <f>VLOOKUP($A27,'Pre-Assessment Estimator'!$A$10:$Z$224,E$2,FALSE)</f>
        <v>3</v>
      </c>
      <c r="F27" s="587" t="str">
        <f>IF(VLOOKUP($A27,'Pre-Assessment Estimator'!$A$10:$Z$224,F$2,FALSE)=0,"",VLOOKUP($A27,'Pre-Assessment Estimator'!$A$10:$Z$224,F$2,FALSE))</f>
        <v/>
      </c>
      <c r="G27" s="582" t="str">
        <f>VLOOKUP($A27,'Pre-Assessment Estimator'!$A$10:$Z$224,G$2,FALSE)</f>
        <v>0 c. 0 %</v>
      </c>
      <c r="H27" s="581" t="str">
        <f>VLOOKUP($A27,'Pre-Assessment Estimator'!$A$10:$Z$224,H$2,FALSE)</f>
        <v>N/A</v>
      </c>
      <c r="I27" s="584" t="str">
        <f>IF(VLOOKUP($A27,'Pre-Assessment Estimator'!$A$10:$Z$224,I$2,FALSE)=0,"",VLOOKUP($A27,'Pre-Assessment Estimator'!$A$10:$Z$224,I$2,FALSE))</f>
        <v/>
      </c>
      <c r="J27" s="584" t="str">
        <f>IF(VLOOKUP($A27,'Pre-Assessment Estimator'!$A$10:$Z$224,J$2,FALSE)=0,"",VLOOKUP($A27,'Pre-Assessment Estimator'!$A$10:$Z$224,J$2,FALSE))</f>
        <v/>
      </c>
      <c r="K27" s="585" t="str">
        <f>IF(VLOOKUP($A27,'Pre-Assessment Estimator'!$A$10:$Z$224,K$2,FALSE)=0,"",VLOOKUP($A27,'Pre-Assessment Estimator'!$A$10:$Z$224,K$2,FALSE))</f>
        <v/>
      </c>
      <c r="L27" s="586"/>
      <c r="M27" s="587" t="str">
        <f>IF(VLOOKUP($A27,'Pre-Assessment Estimator'!$A$10:$Z$224,M$2,FALSE)=0,"",VLOOKUP($A27,'Pre-Assessment Estimator'!$A$10:$Z$224,M$2,FALSE))</f>
        <v/>
      </c>
      <c r="N27" s="582" t="str">
        <f>VLOOKUP($A27,'Pre-Assessment Estimator'!$A$10:$Z$224,N$2,FALSE)</f>
        <v>0 c. 0 %</v>
      </c>
      <c r="O27" s="581" t="str">
        <f>VLOOKUP($A27,'Pre-Assessment Estimator'!$A$10:$Z$224,O$2,FALSE)</f>
        <v>N/A</v>
      </c>
      <c r="P27" s="584" t="str">
        <f>IF(VLOOKUP($A27,'Pre-Assessment Estimator'!$A$10:$Z$224,P$2,FALSE)=0,"",VLOOKUP($A27,'Pre-Assessment Estimator'!$A$10:$Z$224,P$2,FALSE))</f>
        <v/>
      </c>
      <c r="Q27" s="584" t="str">
        <f>IF(VLOOKUP($A27,'Pre-Assessment Estimator'!$A$10:$Z$224,Q$2,FALSE)=0,"",VLOOKUP($A27,'Pre-Assessment Estimator'!$A$10:$Z$224,Q$2,FALSE))</f>
        <v/>
      </c>
      <c r="R27" s="585" t="str">
        <f>IF(VLOOKUP($A27,'Pre-Assessment Estimator'!$A$10:$Z$224,R$2,FALSE)=0,"",VLOOKUP($A27,'Pre-Assessment Estimator'!$A$10:$Z$224,R$2,FALSE))</f>
        <v/>
      </c>
      <c r="S27" s="588"/>
      <c r="T27" s="587" t="str">
        <f>IF(VLOOKUP($A27,'Pre-Assessment Estimator'!$A$10:$Z$224,T$2,FALSE)=0,"",VLOOKUP($A27,'Pre-Assessment Estimator'!$A$10:$Z$224,T$2,FALSE))</f>
        <v/>
      </c>
      <c r="U27" s="582" t="str">
        <f>VLOOKUP($A27,'Pre-Assessment Estimator'!$A$10:$Z$224,U$2,FALSE)</f>
        <v>0 c. 0 %</v>
      </c>
      <c r="V27" s="581" t="str">
        <f>VLOOKUP($A27,'Pre-Assessment Estimator'!$A$10:$Z$224,V$2,FALSE)</f>
        <v>N/A</v>
      </c>
      <c r="W27" s="584" t="str">
        <f>IF(VLOOKUP($A27,'Pre-Assessment Estimator'!$A$10:$Z$224,W$2,FALSE)=0,"",VLOOKUP($A27,'Pre-Assessment Estimator'!$A$10:$Z$224,W$2,FALSE))</f>
        <v/>
      </c>
      <c r="X27" s="584" t="str">
        <f>IF(VLOOKUP($A27,'Pre-Assessment Estimator'!$A$10:$Z$224,X$2,FALSE)=0,"",VLOOKUP($A27,'Pre-Assessment Estimator'!$A$10:$Z$224,X$2,FALSE))</f>
        <v/>
      </c>
      <c r="Y27" s="370" t="str">
        <f>IF(VLOOKUP($A27,'Pre-Assessment Estimator'!$A$10:$Z$224,Y$2,FALSE)=0,"",VLOOKUP($A27,'Pre-Assessment Estimator'!$A$10:$Z$224,Y$2,FALSE))</f>
        <v/>
      </c>
      <c r="Z27" s="705"/>
      <c r="AA27" s="584"/>
      <c r="AE27" s="386">
        <f t="shared" si="0"/>
        <v>1</v>
      </c>
      <c r="AF27" s="95" t="e">
        <f>VLOOKUP(J27,'Assessment Details'!$O$45:$P$48,2,FALSE)</f>
        <v>#N/A</v>
      </c>
      <c r="AG27" s="95" t="e">
        <f>VLOOKUP(Q27,'Assessment Details'!$O$45:$P$48,2,FALSE)</f>
        <v>#N/A</v>
      </c>
      <c r="AH27" s="95" t="e">
        <f>VLOOKUP(X27,'Assessment Details'!$O$45:$P$48,2,FALSE)</f>
        <v>#N/A</v>
      </c>
      <c r="AI27" s="414"/>
      <c r="AN27" s="413"/>
    </row>
    <row r="28" spans="1:40" x14ac:dyDescent="0.25">
      <c r="A28" s="836">
        <v>19</v>
      </c>
      <c r="B28" s="1262"/>
      <c r="C28" s="1262"/>
      <c r="D28" s="340" t="str">
        <f>VLOOKUP($A28,'Pre-Assessment Estimator'!$A$10:$Z$224,D$2,FALSE)</f>
        <v xml:space="preserve">Commissioning - testing schedule and responsibilities </v>
      </c>
      <c r="E28" s="581">
        <f>VLOOKUP($A28,'Pre-Assessment Estimator'!$A$10:$Z$224,E$2,FALSE)</f>
        <v>1</v>
      </c>
      <c r="F28" s="587" t="str">
        <f>IF(VLOOKUP($A28,'Pre-Assessment Estimator'!$A$10:$Z$224,F$2,FALSE)=0,"",VLOOKUP($A28,'Pre-Assessment Estimator'!$A$10:$Z$224,F$2,FALSE))</f>
        <v/>
      </c>
      <c r="G28" s="582">
        <f>VLOOKUP($A28,'Pre-Assessment Estimator'!$A$10:$Z$224,G$2,FALSE)</f>
        <v>0</v>
      </c>
      <c r="H28" s="581" t="str">
        <f>VLOOKUP($A28,'Pre-Assessment Estimator'!$A$10:$Z$224,H$2,FALSE)</f>
        <v>Unclassified</v>
      </c>
      <c r="I28" s="584" t="str">
        <f>IF(VLOOKUP($A28,'Pre-Assessment Estimator'!$A$10:$Z$224,I$2,FALSE)=0,"",VLOOKUP($A28,'Pre-Assessment Estimator'!$A$10:$Z$224,I$2,FALSE))</f>
        <v/>
      </c>
      <c r="J28" s="584" t="str">
        <f>IF(VLOOKUP($A28,'Pre-Assessment Estimator'!$A$10:$Z$224,J$2,FALSE)=0,"",VLOOKUP($A28,'Pre-Assessment Estimator'!$A$10:$Z$224,J$2,FALSE))</f>
        <v/>
      </c>
      <c r="K28" s="585" t="str">
        <f>IF(VLOOKUP($A28,'Pre-Assessment Estimator'!$A$10:$Z$224,K$2,FALSE)=0,"",VLOOKUP($A28,'Pre-Assessment Estimator'!$A$10:$Z$224,K$2,FALSE))</f>
        <v/>
      </c>
      <c r="L28" s="586"/>
      <c r="M28" s="587" t="str">
        <f>IF(VLOOKUP($A28,'Pre-Assessment Estimator'!$A$10:$Z$224,M$2,FALSE)=0,"",VLOOKUP($A28,'Pre-Assessment Estimator'!$A$10:$Z$224,M$2,FALSE))</f>
        <v/>
      </c>
      <c r="N28" s="582">
        <f>VLOOKUP($A28,'Pre-Assessment Estimator'!$A$10:$Z$224,N$2,FALSE)</f>
        <v>0</v>
      </c>
      <c r="O28" s="581" t="str">
        <f>VLOOKUP($A28,'Pre-Assessment Estimator'!$A$10:$Z$224,O$2,FALSE)</f>
        <v>Unclassified</v>
      </c>
      <c r="P28" s="584" t="str">
        <f>IF(VLOOKUP($A28,'Pre-Assessment Estimator'!$A$10:$Z$224,P$2,FALSE)=0,"",VLOOKUP($A28,'Pre-Assessment Estimator'!$A$10:$Z$224,P$2,FALSE))</f>
        <v/>
      </c>
      <c r="Q28" s="584" t="str">
        <f>IF(VLOOKUP($A28,'Pre-Assessment Estimator'!$A$10:$Z$224,Q$2,FALSE)=0,"",VLOOKUP($A28,'Pre-Assessment Estimator'!$A$10:$Z$224,Q$2,FALSE))</f>
        <v/>
      </c>
      <c r="R28" s="585" t="str">
        <f>IF(VLOOKUP($A28,'Pre-Assessment Estimator'!$A$10:$Z$224,R$2,FALSE)=0,"",VLOOKUP($A28,'Pre-Assessment Estimator'!$A$10:$Z$224,R$2,FALSE))</f>
        <v/>
      </c>
      <c r="S28" s="588"/>
      <c r="T28" s="587" t="str">
        <f>IF(VLOOKUP($A28,'Pre-Assessment Estimator'!$A$10:$Z$224,T$2,FALSE)=0,"",VLOOKUP($A28,'Pre-Assessment Estimator'!$A$10:$Z$224,T$2,FALSE))</f>
        <v/>
      </c>
      <c r="U28" s="582">
        <f>VLOOKUP($A28,'Pre-Assessment Estimator'!$A$10:$Z$224,U$2,FALSE)</f>
        <v>0</v>
      </c>
      <c r="V28" s="581" t="str">
        <f>VLOOKUP($A28,'Pre-Assessment Estimator'!$A$10:$Z$224,V$2,FALSE)</f>
        <v>Unclassified</v>
      </c>
      <c r="W28" s="584" t="str">
        <f>IF(VLOOKUP($A28,'Pre-Assessment Estimator'!$A$10:$Z$224,W$2,FALSE)=0,"",VLOOKUP($A28,'Pre-Assessment Estimator'!$A$10:$Z$224,W$2,FALSE))</f>
        <v/>
      </c>
      <c r="X28" s="584" t="str">
        <f>IF(VLOOKUP($A28,'Pre-Assessment Estimator'!$A$10:$Z$224,X$2,FALSE)=0,"",VLOOKUP($A28,'Pre-Assessment Estimator'!$A$10:$Z$224,X$2,FALSE))</f>
        <v/>
      </c>
      <c r="Y28" s="370" t="str">
        <f>IF(VLOOKUP($A28,'Pre-Assessment Estimator'!$A$10:$Z$224,Y$2,FALSE)=0,"",VLOOKUP($A28,'Pre-Assessment Estimator'!$A$10:$Z$224,Y$2,FALSE))</f>
        <v/>
      </c>
      <c r="Z28" s="705"/>
      <c r="AA28" s="584"/>
      <c r="AE28" s="386">
        <f t="shared" si="0"/>
        <v>1</v>
      </c>
      <c r="AF28" s="95" t="e">
        <f>VLOOKUP(J28,'Assessment Details'!$O$45:$P$48,2,FALSE)</f>
        <v>#N/A</v>
      </c>
      <c r="AG28" s="95" t="e">
        <f>VLOOKUP(Q28,'Assessment Details'!$O$45:$P$48,2,FALSE)</f>
        <v>#N/A</v>
      </c>
      <c r="AH28" s="95" t="e">
        <f>VLOOKUP(X28,'Assessment Details'!$O$45:$P$48,2,FALSE)</f>
        <v>#N/A</v>
      </c>
      <c r="AI28" s="414"/>
      <c r="AN28" s="413"/>
    </row>
    <row r="29" spans="1:40" ht="30" x14ac:dyDescent="0.25">
      <c r="A29" s="836">
        <v>20</v>
      </c>
      <c r="B29" s="1262"/>
      <c r="C29" s="1262"/>
      <c r="D29" s="340" t="str">
        <f>VLOOKUP($A29,'Pre-Assessment Estimator'!$A$10:$Z$224,D$2,FALSE)</f>
        <v>Commissioning - design, preperation and implementation</v>
      </c>
      <c r="E29" s="581">
        <f>VLOOKUP($A29,'Pre-Assessment Estimator'!$A$10:$Z$224,E$2,FALSE)</f>
        <v>1</v>
      </c>
      <c r="F29" s="587" t="str">
        <f>IF(VLOOKUP($A29,'Pre-Assessment Estimator'!$A$10:$Z$224,F$2,FALSE)=0,"",VLOOKUP($A29,'Pre-Assessment Estimator'!$A$10:$Z$224,F$2,FALSE))</f>
        <v/>
      </c>
      <c r="G29" s="582">
        <f>VLOOKUP($A29,'Pre-Assessment Estimator'!$A$10:$Z$224,G$2,FALSE)</f>
        <v>0</v>
      </c>
      <c r="H29" s="581" t="str">
        <f>VLOOKUP($A29,'Pre-Assessment Estimator'!$A$10:$Z$224,H$2,FALSE)</f>
        <v>N/A</v>
      </c>
      <c r="I29" s="584" t="str">
        <f>IF(VLOOKUP($A29,'Pre-Assessment Estimator'!$A$10:$Z$224,I$2,FALSE)=0,"",VLOOKUP($A29,'Pre-Assessment Estimator'!$A$10:$Z$224,I$2,FALSE))</f>
        <v/>
      </c>
      <c r="J29" s="584" t="str">
        <f>IF(VLOOKUP($A29,'Pre-Assessment Estimator'!$A$10:$Z$224,J$2,FALSE)=0,"",VLOOKUP($A29,'Pre-Assessment Estimator'!$A$10:$Z$224,J$2,FALSE))</f>
        <v/>
      </c>
      <c r="K29" s="585" t="str">
        <f>IF(VLOOKUP($A29,'Pre-Assessment Estimator'!$A$10:$Z$224,K$2,FALSE)=0,"",VLOOKUP($A29,'Pre-Assessment Estimator'!$A$10:$Z$224,K$2,FALSE))</f>
        <v/>
      </c>
      <c r="L29" s="586"/>
      <c r="M29" s="587" t="str">
        <f>IF(VLOOKUP($A29,'Pre-Assessment Estimator'!$A$10:$Z$224,M$2,FALSE)=0,"",VLOOKUP($A29,'Pre-Assessment Estimator'!$A$10:$Z$224,M$2,FALSE))</f>
        <v/>
      </c>
      <c r="N29" s="582">
        <f>VLOOKUP($A29,'Pre-Assessment Estimator'!$A$10:$Z$224,N$2,FALSE)</f>
        <v>0</v>
      </c>
      <c r="O29" s="581" t="str">
        <f>VLOOKUP($A29,'Pre-Assessment Estimator'!$A$10:$Z$224,O$2,FALSE)</f>
        <v>N/A</v>
      </c>
      <c r="P29" s="584" t="str">
        <f>IF(VLOOKUP($A29,'Pre-Assessment Estimator'!$A$10:$Z$224,P$2,FALSE)=0,"",VLOOKUP($A29,'Pre-Assessment Estimator'!$A$10:$Z$224,P$2,FALSE))</f>
        <v/>
      </c>
      <c r="Q29" s="584" t="str">
        <f>IF(VLOOKUP($A29,'Pre-Assessment Estimator'!$A$10:$Z$224,Q$2,FALSE)=0,"",VLOOKUP($A29,'Pre-Assessment Estimator'!$A$10:$Z$224,Q$2,FALSE))</f>
        <v/>
      </c>
      <c r="R29" s="585" t="str">
        <f>IF(VLOOKUP($A29,'Pre-Assessment Estimator'!$A$10:$Z$224,R$2,FALSE)=0,"",VLOOKUP($A29,'Pre-Assessment Estimator'!$A$10:$Z$224,R$2,FALSE))</f>
        <v/>
      </c>
      <c r="S29" s="588"/>
      <c r="T29" s="587" t="str">
        <f>IF(VLOOKUP($A29,'Pre-Assessment Estimator'!$A$10:$Z$224,T$2,FALSE)=0,"",VLOOKUP($A29,'Pre-Assessment Estimator'!$A$10:$Z$224,T$2,FALSE))</f>
        <v/>
      </c>
      <c r="U29" s="582">
        <f>VLOOKUP($A29,'Pre-Assessment Estimator'!$A$10:$Z$224,U$2,FALSE)</f>
        <v>0</v>
      </c>
      <c r="V29" s="581" t="str">
        <f>VLOOKUP($A29,'Pre-Assessment Estimator'!$A$10:$Z$224,V$2,FALSE)</f>
        <v>N/A</v>
      </c>
      <c r="W29" s="584" t="str">
        <f>IF(VLOOKUP($A29,'Pre-Assessment Estimator'!$A$10:$Z$224,W$2,FALSE)=0,"",VLOOKUP($A29,'Pre-Assessment Estimator'!$A$10:$Z$224,W$2,FALSE))</f>
        <v/>
      </c>
      <c r="X29" s="584" t="str">
        <f>IF(VLOOKUP($A29,'Pre-Assessment Estimator'!$A$10:$Z$224,X$2,FALSE)=0,"",VLOOKUP($A29,'Pre-Assessment Estimator'!$A$10:$Z$224,X$2,FALSE))</f>
        <v/>
      </c>
      <c r="Y29" s="370" t="str">
        <f>IF(VLOOKUP($A29,'Pre-Assessment Estimator'!$A$10:$Z$224,Y$2,FALSE)=0,"",VLOOKUP($A29,'Pre-Assessment Estimator'!$A$10:$Z$224,Y$2,FALSE))</f>
        <v/>
      </c>
      <c r="Z29" s="705"/>
      <c r="AA29" s="584"/>
      <c r="AE29" s="386">
        <f t="shared" si="0"/>
        <v>1</v>
      </c>
      <c r="AF29" s="95" t="e">
        <f>VLOOKUP(J29,'Assessment Details'!$O$45:$P$48,2,FALSE)</f>
        <v>#N/A</v>
      </c>
      <c r="AG29" s="95" t="e">
        <f>VLOOKUP(Q29,'Assessment Details'!$O$45:$P$48,2,FALSE)</f>
        <v>#N/A</v>
      </c>
      <c r="AH29" s="95" t="e">
        <f>VLOOKUP(X29,'Assessment Details'!$O$45:$P$48,2,FALSE)</f>
        <v>#N/A</v>
      </c>
      <c r="AI29" s="414"/>
      <c r="AN29" s="413"/>
    </row>
    <row r="30" spans="1:40" x14ac:dyDescent="0.25">
      <c r="A30" s="836">
        <v>21</v>
      </c>
      <c r="B30" s="1262"/>
      <c r="C30" s="1262"/>
      <c r="D30" s="340" t="str">
        <f>VLOOKUP($A30,'Pre-Assessment Estimator'!$A$10:$Z$224,D$2,FALSE)</f>
        <v>Prepare for good handover</v>
      </c>
      <c r="E30" s="581">
        <f>VLOOKUP($A30,'Pre-Assessment Estimator'!$A$10:$Z$224,E$2,FALSE)</f>
        <v>1</v>
      </c>
      <c r="F30" s="587" t="str">
        <f>IF(VLOOKUP($A30,'Pre-Assessment Estimator'!$A$10:$Z$224,F$2,FALSE)=0,"",VLOOKUP($A30,'Pre-Assessment Estimator'!$A$10:$Z$224,F$2,FALSE))</f>
        <v/>
      </c>
      <c r="G30" s="582">
        <f>VLOOKUP($A30,'Pre-Assessment Estimator'!$A$10:$Z$224,G$2,FALSE)</f>
        <v>0</v>
      </c>
      <c r="H30" s="581" t="str">
        <f>VLOOKUP($A30,'Pre-Assessment Estimator'!$A$10:$Z$224,H$2,FALSE)</f>
        <v>Good</v>
      </c>
      <c r="I30" s="584" t="str">
        <f>IF(VLOOKUP($A30,'Pre-Assessment Estimator'!$A$10:$Z$224,I$2,FALSE)=0,"",VLOOKUP($A30,'Pre-Assessment Estimator'!$A$10:$Z$224,I$2,FALSE))</f>
        <v/>
      </c>
      <c r="J30" s="584" t="str">
        <f>IF(VLOOKUP($A30,'Pre-Assessment Estimator'!$A$10:$Z$224,J$2,FALSE)=0,"",VLOOKUP($A30,'Pre-Assessment Estimator'!$A$10:$Z$224,J$2,FALSE))</f>
        <v/>
      </c>
      <c r="K30" s="585" t="str">
        <f>IF(VLOOKUP($A30,'Pre-Assessment Estimator'!$A$10:$Z$224,K$2,FALSE)=0,"",VLOOKUP($A30,'Pre-Assessment Estimator'!$A$10:$Z$224,K$2,FALSE))</f>
        <v/>
      </c>
      <c r="L30" s="586"/>
      <c r="M30" s="587" t="str">
        <f>IF(VLOOKUP($A30,'Pre-Assessment Estimator'!$A$10:$Z$224,M$2,FALSE)=0,"",VLOOKUP($A30,'Pre-Assessment Estimator'!$A$10:$Z$224,M$2,FALSE))</f>
        <v/>
      </c>
      <c r="N30" s="582">
        <f>VLOOKUP($A30,'Pre-Assessment Estimator'!$A$10:$Z$224,N$2,FALSE)</f>
        <v>0</v>
      </c>
      <c r="O30" s="581" t="str">
        <f>VLOOKUP($A30,'Pre-Assessment Estimator'!$A$10:$Z$224,O$2,FALSE)</f>
        <v>Good</v>
      </c>
      <c r="P30" s="584" t="str">
        <f>IF(VLOOKUP($A30,'Pre-Assessment Estimator'!$A$10:$Z$224,P$2,FALSE)=0,"",VLOOKUP($A30,'Pre-Assessment Estimator'!$A$10:$Z$224,P$2,FALSE))</f>
        <v/>
      </c>
      <c r="Q30" s="584" t="str">
        <f>IF(VLOOKUP($A30,'Pre-Assessment Estimator'!$A$10:$Z$224,Q$2,FALSE)=0,"",VLOOKUP($A30,'Pre-Assessment Estimator'!$A$10:$Z$224,Q$2,FALSE))</f>
        <v/>
      </c>
      <c r="R30" s="585" t="str">
        <f>IF(VLOOKUP($A30,'Pre-Assessment Estimator'!$A$10:$Z$224,R$2,FALSE)=0,"",VLOOKUP($A30,'Pre-Assessment Estimator'!$A$10:$Z$224,R$2,FALSE))</f>
        <v/>
      </c>
      <c r="S30" s="588"/>
      <c r="T30" s="587" t="str">
        <f>IF(VLOOKUP($A30,'Pre-Assessment Estimator'!$A$10:$Z$224,T$2,FALSE)=0,"",VLOOKUP($A30,'Pre-Assessment Estimator'!$A$10:$Z$224,T$2,FALSE))</f>
        <v/>
      </c>
      <c r="U30" s="582">
        <f>VLOOKUP($A30,'Pre-Assessment Estimator'!$A$10:$Z$224,U$2,FALSE)</f>
        <v>0</v>
      </c>
      <c r="V30" s="581" t="str">
        <f>VLOOKUP($A30,'Pre-Assessment Estimator'!$A$10:$Z$224,V$2,FALSE)</f>
        <v>Good</v>
      </c>
      <c r="W30" s="584" t="str">
        <f>IF(VLOOKUP($A30,'Pre-Assessment Estimator'!$A$10:$Z$224,W$2,FALSE)=0,"",VLOOKUP($A30,'Pre-Assessment Estimator'!$A$10:$Z$224,W$2,FALSE))</f>
        <v/>
      </c>
      <c r="X30" s="584" t="str">
        <f>IF(VLOOKUP($A30,'Pre-Assessment Estimator'!$A$10:$Z$224,X$2,FALSE)=0,"",VLOOKUP($A30,'Pre-Assessment Estimator'!$A$10:$Z$224,X$2,FALSE))</f>
        <v/>
      </c>
      <c r="Y30" s="370" t="str">
        <f>IF(VLOOKUP($A30,'Pre-Assessment Estimator'!$A$10:$Z$224,Y$2,FALSE)=0,"",VLOOKUP($A30,'Pre-Assessment Estimator'!$A$10:$Z$224,Y$2,FALSE))</f>
        <v/>
      </c>
      <c r="Z30" s="705"/>
      <c r="AA30" s="584"/>
      <c r="AE30" s="386">
        <f t="shared" si="0"/>
        <v>1</v>
      </c>
      <c r="AF30" s="95" t="e">
        <f>VLOOKUP(J30,'Assessment Details'!$O$45:$P$48,2,FALSE)</f>
        <v>#N/A</v>
      </c>
      <c r="AG30" s="95" t="e">
        <f>VLOOKUP(Q30,'Assessment Details'!$O$45:$P$48,2,FALSE)</f>
        <v>#N/A</v>
      </c>
      <c r="AH30" s="95" t="e">
        <f>VLOOKUP(X30,'Assessment Details'!$O$45:$P$48,2,FALSE)</f>
        <v>#N/A</v>
      </c>
      <c r="AI30" s="414"/>
      <c r="AN30" s="413"/>
    </row>
    <row r="31" spans="1:40" x14ac:dyDescent="0.25">
      <c r="A31" s="836">
        <v>22</v>
      </c>
      <c r="B31" s="1262"/>
      <c r="C31" s="1262"/>
      <c r="D31" s="993" t="str">
        <f>VLOOKUP($A31,'Pre-Assessment Estimator'!$A$10:$Z$224,D$2,FALSE)</f>
        <v>Man 05 Aftercare</v>
      </c>
      <c r="E31" s="581">
        <f>VLOOKUP($A31,'Pre-Assessment Estimator'!$A$10:$Z$224,E$2,FALSE)</f>
        <v>3</v>
      </c>
      <c r="F31" s="587" t="str">
        <f>IF(VLOOKUP($A31,'Pre-Assessment Estimator'!$A$10:$Z$224,F$2,FALSE)=0,"",VLOOKUP($A31,'Pre-Assessment Estimator'!$A$10:$Z$224,F$2,FALSE))</f>
        <v/>
      </c>
      <c r="G31" s="582" t="str">
        <f>VLOOKUP($A31,'Pre-Assessment Estimator'!$A$10:$Z$224,G$2,FALSE)</f>
        <v>0 c. 0 %</v>
      </c>
      <c r="H31" s="581" t="str">
        <f>VLOOKUP($A31,'Pre-Assessment Estimator'!$A$10:$Z$224,H$2,FALSE)</f>
        <v>N/A</v>
      </c>
      <c r="I31" s="584" t="str">
        <f>IF(VLOOKUP($A31,'Pre-Assessment Estimator'!$A$10:$Z$224,I$2,FALSE)=0,"",VLOOKUP($A31,'Pre-Assessment Estimator'!$A$10:$Z$224,I$2,FALSE))</f>
        <v/>
      </c>
      <c r="J31" s="584" t="str">
        <f>IF(VLOOKUP($A31,'Pre-Assessment Estimator'!$A$10:$Z$224,J$2,FALSE)=0,"",VLOOKUP($A31,'Pre-Assessment Estimator'!$A$10:$Z$224,J$2,FALSE))</f>
        <v/>
      </c>
      <c r="K31" s="585" t="str">
        <f>IF(VLOOKUP($A31,'Pre-Assessment Estimator'!$A$10:$Z$224,K$2,FALSE)=0,"",VLOOKUP($A31,'Pre-Assessment Estimator'!$A$10:$Z$224,K$2,FALSE))</f>
        <v/>
      </c>
      <c r="L31" s="586"/>
      <c r="M31" s="587" t="str">
        <f>IF(VLOOKUP($A31,'Pre-Assessment Estimator'!$A$10:$Z$224,M$2,FALSE)=0,"",VLOOKUP($A31,'Pre-Assessment Estimator'!$A$10:$Z$224,M$2,FALSE))</f>
        <v/>
      </c>
      <c r="N31" s="582" t="str">
        <f>VLOOKUP($A31,'Pre-Assessment Estimator'!$A$10:$Z$224,N$2,FALSE)</f>
        <v>0 c. 0 %</v>
      </c>
      <c r="O31" s="581" t="str">
        <f>VLOOKUP($A31,'Pre-Assessment Estimator'!$A$10:$Z$224,O$2,FALSE)</f>
        <v>N/A</v>
      </c>
      <c r="P31" s="584" t="str">
        <f>IF(VLOOKUP($A31,'Pre-Assessment Estimator'!$A$10:$Z$224,P$2,FALSE)=0,"",VLOOKUP($A31,'Pre-Assessment Estimator'!$A$10:$Z$224,P$2,FALSE))</f>
        <v/>
      </c>
      <c r="Q31" s="584" t="str">
        <f>IF(VLOOKUP($A31,'Pre-Assessment Estimator'!$A$10:$Z$224,Q$2,FALSE)=0,"",VLOOKUP($A31,'Pre-Assessment Estimator'!$A$10:$Z$224,Q$2,FALSE))</f>
        <v/>
      </c>
      <c r="R31" s="585" t="str">
        <f>IF(VLOOKUP($A31,'Pre-Assessment Estimator'!$A$10:$Z$224,R$2,FALSE)=0,"",VLOOKUP($A31,'Pre-Assessment Estimator'!$A$10:$Z$224,R$2,FALSE))</f>
        <v/>
      </c>
      <c r="S31" s="588"/>
      <c r="T31" s="587" t="str">
        <f>IF(VLOOKUP($A31,'Pre-Assessment Estimator'!$A$10:$Z$224,T$2,FALSE)=0,"",VLOOKUP($A31,'Pre-Assessment Estimator'!$A$10:$Z$224,T$2,FALSE))</f>
        <v/>
      </c>
      <c r="U31" s="582" t="str">
        <f>VLOOKUP($A31,'Pre-Assessment Estimator'!$A$10:$Z$224,U$2,FALSE)</f>
        <v>0 c. 0 %</v>
      </c>
      <c r="V31" s="581" t="str">
        <f>VLOOKUP($A31,'Pre-Assessment Estimator'!$A$10:$Z$224,V$2,FALSE)</f>
        <v>N/A</v>
      </c>
      <c r="W31" s="584" t="str">
        <f>IF(VLOOKUP($A31,'Pre-Assessment Estimator'!$A$10:$Z$224,W$2,FALSE)=0,"",VLOOKUP($A31,'Pre-Assessment Estimator'!$A$10:$Z$224,W$2,FALSE))</f>
        <v/>
      </c>
      <c r="X31" s="584" t="str">
        <f>IF(VLOOKUP($A31,'Pre-Assessment Estimator'!$A$10:$Z$224,X$2,FALSE)=0,"",VLOOKUP($A31,'Pre-Assessment Estimator'!$A$10:$Z$224,X$2,FALSE))</f>
        <v/>
      </c>
      <c r="Y31" s="370" t="str">
        <f>IF(VLOOKUP($A31,'Pre-Assessment Estimator'!$A$10:$Z$224,Y$2,FALSE)=0,"",VLOOKUP($A31,'Pre-Assessment Estimator'!$A$10:$Z$224,Y$2,FALSE))</f>
        <v/>
      </c>
      <c r="Z31" s="705"/>
      <c r="AA31" s="584"/>
      <c r="AE31" s="386">
        <f t="shared" si="0"/>
        <v>1</v>
      </c>
      <c r="AF31" s="95" t="e">
        <f>VLOOKUP(J31,'Assessment Details'!$O$45:$P$48,2,FALSE)</f>
        <v>#N/A</v>
      </c>
      <c r="AG31" s="95" t="e">
        <f>VLOOKUP(Q31,'Assessment Details'!$O$45:$P$48,2,FALSE)</f>
        <v>#N/A</v>
      </c>
      <c r="AH31" s="95" t="e">
        <f>VLOOKUP(X31,'Assessment Details'!$O$45:$P$48,2,FALSE)</f>
        <v>#N/A</v>
      </c>
      <c r="AI31" s="414"/>
      <c r="AN31" s="413"/>
    </row>
    <row r="32" spans="1:40" x14ac:dyDescent="0.25">
      <c r="A32" s="836">
        <v>23</v>
      </c>
      <c r="B32" s="1262"/>
      <c r="C32" s="1262"/>
      <c r="D32" s="340" t="str">
        <f>VLOOKUP($A32,'Pre-Assessment Estimator'!$A$10:$Z$224,D$2,FALSE)</f>
        <v>Aftercare support</v>
      </c>
      <c r="E32" s="581">
        <f>VLOOKUP($A32,'Pre-Assessment Estimator'!$A$10:$Z$224,E$2,FALSE)</f>
        <v>1</v>
      </c>
      <c r="F32" s="587" t="str">
        <f>IF(VLOOKUP($A32,'Pre-Assessment Estimator'!$A$10:$Z$224,F$2,FALSE)=0,"",VLOOKUP($A32,'Pre-Assessment Estimator'!$A$10:$Z$224,F$2,FALSE))</f>
        <v/>
      </c>
      <c r="G32" s="582">
        <f>VLOOKUP($A32,'Pre-Assessment Estimator'!$A$10:$Z$224,G$2,FALSE)</f>
        <v>0</v>
      </c>
      <c r="H32" s="581" t="str">
        <f>VLOOKUP($A32,'Pre-Assessment Estimator'!$A$10:$Z$224,H$2,FALSE)</f>
        <v>N/A</v>
      </c>
      <c r="I32" s="584" t="str">
        <f>IF(VLOOKUP($A32,'Pre-Assessment Estimator'!$A$10:$Z$224,I$2,FALSE)=0,"",VLOOKUP($A32,'Pre-Assessment Estimator'!$A$10:$Z$224,I$2,FALSE))</f>
        <v/>
      </c>
      <c r="J32" s="584" t="str">
        <f>IF(VLOOKUP($A32,'Pre-Assessment Estimator'!$A$10:$Z$224,J$2,FALSE)=0,"",VLOOKUP($A32,'Pre-Assessment Estimator'!$A$10:$Z$224,J$2,FALSE))</f>
        <v/>
      </c>
      <c r="K32" s="585" t="str">
        <f>IF(VLOOKUP($A32,'Pre-Assessment Estimator'!$A$10:$Z$224,K$2,FALSE)=0,"",VLOOKUP($A32,'Pre-Assessment Estimator'!$A$10:$Z$224,K$2,FALSE))</f>
        <v/>
      </c>
      <c r="L32" s="586"/>
      <c r="M32" s="587" t="str">
        <f>IF(VLOOKUP($A32,'Pre-Assessment Estimator'!$A$10:$Z$224,M$2,FALSE)=0,"",VLOOKUP($A32,'Pre-Assessment Estimator'!$A$10:$Z$224,M$2,FALSE))</f>
        <v/>
      </c>
      <c r="N32" s="582">
        <f>VLOOKUP($A32,'Pre-Assessment Estimator'!$A$10:$Z$224,N$2,FALSE)</f>
        <v>0</v>
      </c>
      <c r="O32" s="581" t="str">
        <f>VLOOKUP($A32,'Pre-Assessment Estimator'!$A$10:$Z$224,O$2,FALSE)</f>
        <v>N/A</v>
      </c>
      <c r="P32" s="584" t="str">
        <f>IF(VLOOKUP($A32,'Pre-Assessment Estimator'!$A$10:$Z$224,P$2,FALSE)=0,"",VLOOKUP($A32,'Pre-Assessment Estimator'!$A$10:$Z$224,P$2,FALSE))</f>
        <v/>
      </c>
      <c r="Q32" s="584" t="str">
        <f>IF(VLOOKUP($A32,'Pre-Assessment Estimator'!$A$10:$Z$224,Q$2,FALSE)=0,"",VLOOKUP($A32,'Pre-Assessment Estimator'!$A$10:$Z$224,Q$2,FALSE))</f>
        <v/>
      </c>
      <c r="R32" s="585" t="str">
        <f>IF(VLOOKUP($A32,'Pre-Assessment Estimator'!$A$10:$Z$224,R$2,FALSE)=0,"",VLOOKUP($A32,'Pre-Assessment Estimator'!$A$10:$Z$224,R$2,FALSE))</f>
        <v/>
      </c>
      <c r="S32" s="588"/>
      <c r="T32" s="587" t="str">
        <f>IF(VLOOKUP($A32,'Pre-Assessment Estimator'!$A$10:$Z$224,T$2,FALSE)=0,"",VLOOKUP($A32,'Pre-Assessment Estimator'!$A$10:$Z$224,T$2,FALSE))</f>
        <v/>
      </c>
      <c r="U32" s="582">
        <f>VLOOKUP($A32,'Pre-Assessment Estimator'!$A$10:$Z$224,U$2,FALSE)</f>
        <v>0</v>
      </c>
      <c r="V32" s="581" t="str">
        <f>VLOOKUP($A32,'Pre-Assessment Estimator'!$A$10:$Z$224,V$2,FALSE)</f>
        <v>N/A</v>
      </c>
      <c r="W32" s="584" t="str">
        <f>IF(VLOOKUP($A32,'Pre-Assessment Estimator'!$A$10:$Z$224,W$2,FALSE)=0,"",VLOOKUP($A32,'Pre-Assessment Estimator'!$A$10:$Z$224,W$2,FALSE))</f>
        <v/>
      </c>
      <c r="X32" s="584" t="str">
        <f>IF(VLOOKUP($A32,'Pre-Assessment Estimator'!$A$10:$Z$224,X$2,FALSE)=0,"",VLOOKUP($A32,'Pre-Assessment Estimator'!$A$10:$Z$224,X$2,FALSE))</f>
        <v/>
      </c>
      <c r="Y32" s="370" t="str">
        <f>IF(VLOOKUP($A32,'Pre-Assessment Estimator'!$A$10:$Z$224,Y$2,FALSE)=0,"",VLOOKUP($A32,'Pre-Assessment Estimator'!$A$10:$Z$224,Y$2,FALSE))</f>
        <v/>
      </c>
      <c r="Z32" s="705"/>
      <c r="AA32" s="584"/>
      <c r="AE32" s="386">
        <f t="shared" si="0"/>
        <v>1</v>
      </c>
      <c r="AF32" s="95" t="e">
        <f>VLOOKUP(J32,'Assessment Details'!$O$45:$P$48,2,FALSE)</f>
        <v>#N/A</v>
      </c>
      <c r="AG32" s="95" t="e">
        <f>VLOOKUP(Q32,'Assessment Details'!$O$45:$P$48,2,FALSE)</f>
        <v>#N/A</v>
      </c>
      <c r="AH32" s="95" t="e">
        <f>VLOOKUP(X32,'Assessment Details'!$O$45:$P$48,2,FALSE)</f>
        <v>#N/A</v>
      </c>
      <c r="AI32" s="414"/>
      <c r="AN32" s="413"/>
    </row>
    <row r="33" spans="1:44" x14ac:dyDescent="0.25">
      <c r="A33" s="836">
        <v>24</v>
      </c>
      <c r="B33" s="1262"/>
      <c r="C33" s="1262"/>
      <c r="D33" s="340" t="str">
        <f>VLOOKUP($A33,'Pre-Assessment Estimator'!$A$10:$Z$224,D$2,FALSE)</f>
        <v>Sesonal commisioning</v>
      </c>
      <c r="E33" s="581">
        <f>VLOOKUP($A33,'Pre-Assessment Estimator'!$A$10:$Z$224,E$2,FALSE)</f>
        <v>1</v>
      </c>
      <c r="F33" s="587" t="str">
        <f>IF(VLOOKUP($A33,'Pre-Assessment Estimator'!$A$10:$Z$224,F$2,FALSE)=0,"",VLOOKUP($A33,'Pre-Assessment Estimator'!$A$10:$Z$224,F$2,FALSE))</f>
        <v/>
      </c>
      <c r="G33" s="582">
        <f>VLOOKUP($A33,'Pre-Assessment Estimator'!$A$10:$Z$224,G$2,FALSE)</f>
        <v>0</v>
      </c>
      <c r="H33" s="581" t="str">
        <f>VLOOKUP($A33,'Pre-Assessment Estimator'!$A$10:$Z$224,H$2,FALSE)</f>
        <v>Very Good</v>
      </c>
      <c r="I33" s="584" t="str">
        <f>IF(VLOOKUP($A33,'Pre-Assessment Estimator'!$A$10:$Z$224,I$2,FALSE)=0,"",VLOOKUP($A33,'Pre-Assessment Estimator'!$A$10:$Z$224,I$2,FALSE))</f>
        <v/>
      </c>
      <c r="J33" s="584" t="str">
        <f>IF(VLOOKUP($A33,'Pre-Assessment Estimator'!$A$10:$Z$224,J$2,FALSE)=0,"",VLOOKUP($A33,'Pre-Assessment Estimator'!$A$10:$Z$224,J$2,FALSE))</f>
        <v/>
      </c>
      <c r="K33" s="585" t="str">
        <f>IF(VLOOKUP($A33,'Pre-Assessment Estimator'!$A$10:$Z$224,K$2,FALSE)=0,"",VLOOKUP($A33,'Pre-Assessment Estimator'!$A$10:$Z$224,K$2,FALSE))</f>
        <v/>
      </c>
      <c r="L33" s="586"/>
      <c r="M33" s="587" t="str">
        <f>IF(VLOOKUP($A33,'Pre-Assessment Estimator'!$A$10:$Z$224,M$2,FALSE)=0,"",VLOOKUP($A33,'Pre-Assessment Estimator'!$A$10:$Z$224,M$2,FALSE))</f>
        <v/>
      </c>
      <c r="N33" s="582">
        <f>VLOOKUP($A33,'Pre-Assessment Estimator'!$A$10:$Z$224,N$2,FALSE)</f>
        <v>0</v>
      </c>
      <c r="O33" s="581" t="str">
        <f>VLOOKUP($A33,'Pre-Assessment Estimator'!$A$10:$Z$224,O$2,FALSE)</f>
        <v>Very Good</v>
      </c>
      <c r="P33" s="584" t="str">
        <f>IF(VLOOKUP($A33,'Pre-Assessment Estimator'!$A$10:$Z$224,P$2,FALSE)=0,"",VLOOKUP($A33,'Pre-Assessment Estimator'!$A$10:$Z$224,P$2,FALSE))</f>
        <v/>
      </c>
      <c r="Q33" s="584" t="str">
        <f>IF(VLOOKUP($A33,'Pre-Assessment Estimator'!$A$10:$Z$224,Q$2,FALSE)=0,"",VLOOKUP($A33,'Pre-Assessment Estimator'!$A$10:$Z$224,Q$2,FALSE))</f>
        <v/>
      </c>
      <c r="R33" s="585" t="str">
        <f>IF(VLOOKUP($A33,'Pre-Assessment Estimator'!$A$10:$Z$224,R$2,FALSE)=0,"",VLOOKUP($A33,'Pre-Assessment Estimator'!$A$10:$Z$224,R$2,FALSE))</f>
        <v/>
      </c>
      <c r="S33" s="588"/>
      <c r="T33" s="587" t="str">
        <f>IF(VLOOKUP($A33,'Pre-Assessment Estimator'!$A$10:$Z$224,T$2,FALSE)=0,"",VLOOKUP($A33,'Pre-Assessment Estimator'!$A$10:$Z$224,T$2,FALSE))</f>
        <v/>
      </c>
      <c r="U33" s="582">
        <f>VLOOKUP($A33,'Pre-Assessment Estimator'!$A$10:$Z$224,U$2,FALSE)</f>
        <v>0</v>
      </c>
      <c r="V33" s="581" t="str">
        <f>VLOOKUP($A33,'Pre-Assessment Estimator'!$A$10:$Z$224,V$2,FALSE)</f>
        <v>Very Good</v>
      </c>
      <c r="W33" s="584" t="str">
        <f>IF(VLOOKUP($A33,'Pre-Assessment Estimator'!$A$10:$Z$224,W$2,FALSE)=0,"",VLOOKUP($A33,'Pre-Assessment Estimator'!$A$10:$Z$224,W$2,FALSE))</f>
        <v/>
      </c>
      <c r="X33" s="584" t="str">
        <f>IF(VLOOKUP($A33,'Pre-Assessment Estimator'!$A$10:$Z$224,X$2,FALSE)=0,"",VLOOKUP($A33,'Pre-Assessment Estimator'!$A$10:$Z$224,X$2,FALSE))</f>
        <v/>
      </c>
      <c r="Y33" s="370" t="str">
        <f>IF(VLOOKUP($A33,'Pre-Assessment Estimator'!$A$10:$Z$224,Y$2,FALSE)=0,"",VLOOKUP($A33,'Pre-Assessment Estimator'!$A$10:$Z$224,Y$2,FALSE))</f>
        <v/>
      </c>
      <c r="Z33" s="705"/>
      <c r="AA33" s="584"/>
      <c r="AE33" s="386">
        <f t="shared" si="0"/>
        <v>1</v>
      </c>
      <c r="AF33" s="95" t="e">
        <f>VLOOKUP(J33,'Assessment Details'!$O$45:$P$48,2,FALSE)</f>
        <v>#N/A</v>
      </c>
      <c r="AG33" s="95" t="e">
        <f>VLOOKUP(Q33,'Assessment Details'!$O$45:$P$48,2,FALSE)</f>
        <v>#N/A</v>
      </c>
      <c r="AH33" s="95" t="e">
        <f>VLOOKUP(X33,'Assessment Details'!$O$45:$P$48,2,FALSE)</f>
        <v>#N/A</v>
      </c>
      <c r="AI33" s="414"/>
      <c r="AN33" s="413"/>
    </row>
    <row r="34" spans="1:44" x14ac:dyDescent="0.25">
      <c r="A34" s="836">
        <v>25</v>
      </c>
      <c r="B34" s="1262"/>
      <c r="C34" s="1262"/>
      <c r="D34" s="340" t="str">
        <f>VLOOKUP($A34,'Pre-Assessment Estimator'!$A$10:$Z$224,D$2,FALSE)</f>
        <v>Post-occypancy evaluation</v>
      </c>
      <c r="E34" s="581">
        <f>VLOOKUP($A34,'Pre-Assessment Estimator'!$A$10:$Z$224,E$2,FALSE)</f>
        <v>1</v>
      </c>
      <c r="F34" s="587" t="str">
        <f>IF(VLOOKUP($A34,'Pre-Assessment Estimator'!$A$10:$Z$224,F$2,FALSE)=0,"",VLOOKUP($A34,'Pre-Assessment Estimator'!$A$10:$Z$224,F$2,FALSE))</f>
        <v/>
      </c>
      <c r="G34" s="582">
        <f>VLOOKUP($A34,'Pre-Assessment Estimator'!$A$10:$Z$224,G$2,FALSE)</f>
        <v>0</v>
      </c>
      <c r="H34" s="581" t="str">
        <f>VLOOKUP($A34,'Pre-Assessment Estimator'!$A$10:$Z$224,H$2,FALSE)</f>
        <v>N/A</v>
      </c>
      <c r="I34" s="584" t="str">
        <f>IF(VLOOKUP($A34,'Pre-Assessment Estimator'!$A$10:$Z$224,I$2,FALSE)=0,"",VLOOKUP($A34,'Pre-Assessment Estimator'!$A$10:$Z$224,I$2,FALSE))</f>
        <v/>
      </c>
      <c r="J34" s="584" t="str">
        <f>IF(VLOOKUP($A34,'Pre-Assessment Estimator'!$A$10:$Z$224,J$2,FALSE)=0,"",VLOOKUP($A34,'Pre-Assessment Estimator'!$A$10:$Z$224,J$2,FALSE))</f>
        <v/>
      </c>
      <c r="K34" s="585" t="str">
        <f>IF(VLOOKUP($A34,'Pre-Assessment Estimator'!$A$10:$Z$224,K$2,FALSE)=0,"",VLOOKUP($A34,'Pre-Assessment Estimator'!$A$10:$Z$224,K$2,FALSE))</f>
        <v/>
      </c>
      <c r="L34" s="586"/>
      <c r="M34" s="587" t="str">
        <f>IF(VLOOKUP($A34,'Pre-Assessment Estimator'!$A$10:$Z$224,M$2,FALSE)=0,"",VLOOKUP($A34,'Pre-Assessment Estimator'!$A$10:$Z$224,M$2,FALSE))</f>
        <v/>
      </c>
      <c r="N34" s="582">
        <f>VLOOKUP($A34,'Pre-Assessment Estimator'!$A$10:$Z$224,N$2,FALSE)</f>
        <v>0</v>
      </c>
      <c r="O34" s="581" t="str">
        <f>VLOOKUP($A34,'Pre-Assessment Estimator'!$A$10:$Z$224,O$2,FALSE)</f>
        <v>N/A</v>
      </c>
      <c r="P34" s="584" t="str">
        <f>IF(VLOOKUP($A34,'Pre-Assessment Estimator'!$A$10:$Z$224,P$2,FALSE)=0,"",VLOOKUP($A34,'Pre-Assessment Estimator'!$A$10:$Z$224,P$2,FALSE))</f>
        <v/>
      </c>
      <c r="Q34" s="584" t="str">
        <f>IF(VLOOKUP($A34,'Pre-Assessment Estimator'!$A$10:$Z$224,Q$2,FALSE)=0,"",VLOOKUP($A34,'Pre-Assessment Estimator'!$A$10:$Z$224,Q$2,FALSE))</f>
        <v/>
      </c>
      <c r="R34" s="585" t="str">
        <f>IF(VLOOKUP($A34,'Pre-Assessment Estimator'!$A$10:$Z$224,R$2,FALSE)=0,"",VLOOKUP($A34,'Pre-Assessment Estimator'!$A$10:$Z$224,R$2,FALSE))</f>
        <v/>
      </c>
      <c r="S34" s="588"/>
      <c r="T34" s="587" t="str">
        <f>IF(VLOOKUP($A34,'Pre-Assessment Estimator'!$A$10:$Z$224,T$2,FALSE)=0,"",VLOOKUP($A34,'Pre-Assessment Estimator'!$A$10:$Z$224,T$2,FALSE))</f>
        <v/>
      </c>
      <c r="U34" s="582">
        <f>VLOOKUP($A34,'Pre-Assessment Estimator'!$A$10:$Z$224,U$2,FALSE)</f>
        <v>0</v>
      </c>
      <c r="V34" s="581" t="str">
        <f>VLOOKUP($A34,'Pre-Assessment Estimator'!$A$10:$Z$224,V$2,FALSE)</f>
        <v>N/A</v>
      </c>
      <c r="W34" s="584" t="str">
        <f>IF(VLOOKUP($A34,'Pre-Assessment Estimator'!$A$10:$Z$224,W$2,FALSE)=0,"",VLOOKUP($A34,'Pre-Assessment Estimator'!$A$10:$Z$224,W$2,FALSE))</f>
        <v/>
      </c>
      <c r="X34" s="584" t="str">
        <f>IF(VLOOKUP($A34,'Pre-Assessment Estimator'!$A$10:$Z$224,X$2,FALSE)=0,"",VLOOKUP($A34,'Pre-Assessment Estimator'!$A$10:$Z$224,X$2,FALSE))</f>
        <v/>
      </c>
      <c r="Y34" s="370" t="str">
        <f>IF(VLOOKUP($A34,'Pre-Assessment Estimator'!$A$10:$Z$224,Y$2,FALSE)=0,"",VLOOKUP($A34,'Pre-Assessment Estimator'!$A$10:$Z$224,Y$2,FALSE))</f>
        <v/>
      </c>
      <c r="Z34" s="705"/>
      <c r="AA34" s="584"/>
      <c r="AE34" s="386">
        <f t="shared" si="0"/>
        <v>1</v>
      </c>
      <c r="AF34" s="95" t="e">
        <f>VLOOKUP(J34,'Assessment Details'!$O$45:$P$48,2,FALSE)</f>
        <v>#N/A</v>
      </c>
      <c r="AG34" s="95" t="e">
        <f>VLOOKUP(Q34,'Assessment Details'!$O$45:$P$48,2,FALSE)</f>
        <v>#N/A</v>
      </c>
      <c r="AH34" s="95" t="e">
        <f>VLOOKUP(X34,'Assessment Details'!$O$45:$P$48,2,FALSE)</f>
        <v>#N/A</v>
      </c>
      <c r="AI34" s="414"/>
      <c r="AN34" s="413"/>
    </row>
    <row r="35" spans="1:44" ht="30.75" thickBot="1" x14ac:dyDescent="0.3">
      <c r="A35" s="836">
        <v>26</v>
      </c>
      <c r="B35" s="1262" t="s">
        <v>64</v>
      </c>
      <c r="C35" s="1262"/>
      <c r="D35" s="341" t="str">
        <f>VLOOKUP($A35,'Pre-Assessment Estimator'!$A$10:$Z$224,D$2,FALSE)</f>
        <v>Total performance management</v>
      </c>
      <c r="E35" s="589">
        <f>VLOOKUP($A35,'Pre-Assessment Estimator'!$A$10:$Z$224,E$2,FALSE)</f>
        <v>21</v>
      </c>
      <c r="F35" s="591" t="str">
        <f>IF(VLOOKUP($A35,'Pre-Assessment Estimator'!$A$10:$Z$224,F$2,FALSE)=0,"",VLOOKUP($A35,'Pre-Assessment Estimator'!$A$10:$Z$224,F$2,FALSE))</f>
        <v/>
      </c>
      <c r="G35" s="590">
        <f>VLOOKUP($A35,'Pre-Assessment Estimator'!$A$10:$Z$224,G$2,FALSE)</f>
        <v>0</v>
      </c>
      <c r="H35" s="589" t="str">
        <f>VLOOKUP($A35,'Pre-Assessment Estimator'!$A$10:$Z$224,H$2,FALSE)</f>
        <v>Credits achieved: 0</v>
      </c>
      <c r="I35" s="1220" t="str">
        <f>IF(VLOOKUP($A35,'Pre-Assessment Estimator'!$A$10:$Z$224,I$2,FALSE)=0,"",VLOOKUP($A35,'Pre-Assessment Estimator'!$A$10:$Z$224,I$2,FALSE))</f>
        <v/>
      </c>
      <c r="J35" s="1220" t="str">
        <f>IF(VLOOKUP($A35,'Pre-Assessment Estimator'!$A$10:$Z$224,J$2,FALSE)=0,"",VLOOKUP($A35,'Pre-Assessment Estimator'!$A$10:$Z$224,J$2,FALSE))</f>
        <v/>
      </c>
      <c r="K35" s="1240" t="str">
        <f>IF(VLOOKUP($A35,'Pre-Assessment Estimator'!$A$10:$Z$224,K$2,FALSE)=0,"",VLOOKUP($A35,'Pre-Assessment Estimator'!$A$10:$Z$224,K$2,FALSE))</f>
        <v/>
      </c>
      <c r="L35" s="1241"/>
      <c r="M35" s="591" t="str">
        <f>IF(VLOOKUP($A35,'Pre-Assessment Estimator'!$A$10:$Z$224,M$2,FALSE)=0,"",VLOOKUP($A35,'Pre-Assessment Estimator'!$A$10:$Z$224,M$2,FALSE))</f>
        <v/>
      </c>
      <c r="N35" s="590">
        <f>VLOOKUP($A35,'Pre-Assessment Estimator'!$A$10:$Z$224,N$2,FALSE)</f>
        <v>0</v>
      </c>
      <c r="O35" s="589" t="str">
        <f>VLOOKUP($A35,'Pre-Assessment Estimator'!$A$10:$Z$224,O$2,FALSE)</f>
        <v>Credits achieved: 0</v>
      </c>
      <c r="P35" s="1220" t="str">
        <f>IF(VLOOKUP($A35,'Pre-Assessment Estimator'!$A$10:$Z$224,P$2,FALSE)=0,"",VLOOKUP($A35,'Pre-Assessment Estimator'!$A$10:$Z$224,P$2,FALSE))</f>
        <v/>
      </c>
      <c r="Q35" s="1220" t="str">
        <f>IF(VLOOKUP($A35,'Pre-Assessment Estimator'!$A$10:$Z$224,Q$2,FALSE)=0,"",VLOOKUP($A35,'Pre-Assessment Estimator'!$A$10:$Z$224,Q$2,FALSE))</f>
        <v/>
      </c>
      <c r="R35" s="1240" t="str">
        <f>IF(VLOOKUP($A35,'Pre-Assessment Estimator'!$A$10:$Z$224,R$2,FALSE)=0,"",VLOOKUP($A35,'Pre-Assessment Estimator'!$A$10:$Z$224,R$2,FALSE))</f>
        <v/>
      </c>
      <c r="S35" s="1242"/>
      <c r="T35" s="591" t="str">
        <f>IF(VLOOKUP($A35,'Pre-Assessment Estimator'!$A$10:$Z$224,T$2,FALSE)=0,"",VLOOKUP($A35,'Pre-Assessment Estimator'!$A$10:$Z$224,T$2,FALSE))</f>
        <v/>
      </c>
      <c r="U35" s="590">
        <f>VLOOKUP($A35,'Pre-Assessment Estimator'!$A$10:$Z$224,U$2,FALSE)</f>
        <v>0</v>
      </c>
      <c r="V35" s="589" t="str">
        <f>VLOOKUP($A35,'Pre-Assessment Estimator'!$A$10:$Z$224,V$2,FALSE)</f>
        <v>Credits achieved: 0</v>
      </c>
      <c r="W35" s="1220" t="str">
        <f>IF(VLOOKUP($A35,'Pre-Assessment Estimator'!$A$10:$Z$224,W$2,FALSE)=0,"",VLOOKUP($A35,'Pre-Assessment Estimator'!$A$10:$Z$224,W$2,FALSE))</f>
        <v/>
      </c>
      <c r="X35" s="1220" t="str">
        <f>IF(VLOOKUP($A35,'Pre-Assessment Estimator'!$A$10:$Z$224,X$2,FALSE)=0,"",VLOOKUP($A35,'Pre-Assessment Estimator'!$A$10:$Z$224,X$2,FALSE))</f>
        <v/>
      </c>
      <c r="Y35" s="1243" t="str">
        <f>IF(VLOOKUP($A35,'Pre-Assessment Estimator'!$A$10:$Z$224,Y$2,FALSE)=0,"",VLOOKUP($A35,'Pre-Assessment Estimator'!$A$10:$Z$224,Y$2,FALSE))</f>
        <v/>
      </c>
      <c r="Z35" s="705"/>
      <c r="AA35" s="584" t="str">
        <f>IF(VLOOKUP($A35,'Pre-Assessment Estimator'!$A$10:$AB$224,AA$2,FALSE)=0,"",VLOOKUP($A35,'Pre-Assessment Estimator'!$A$10:$AB$224,AA$2,FALSE))</f>
        <v/>
      </c>
      <c r="AE35" s="386">
        <f t="shared" si="0"/>
        <v>1</v>
      </c>
      <c r="AF35" s="276">
        <v>0</v>
      </c>
      <c r="AG35" s="276">
        <v>0</v>
      </c>
      <c r="AH35" s="276">
        <v>0</v>
      </c>
      <c r="AI35" s="414"/>
      <c r="AN35" s="413"/>
    </row>
    <row r="36" spans="1:44" x14ac:dyDescent="0.25">
      <c r="A36" s="836">
        <v>27</v>
      </c>
      <c r="B36" s="1262" t="s">
        <v>64</v>
      </c>
      <c r="C36" s="1262"/>
      <c r="D36" s="592"/>
      <c r="E36" s="593"/>
      <c r="F36" s="593"/>
      <c r="G36" s="593"/>
      <c r="H36" s="593"/>
      <c r="I36" s="592"/>
      <c r="J36" s="593"/>
      <c r="K36" s="592"/>
      <c r="L36" s="586"/>
      <c r="M36" s="593"/>
      <c r="N36" s="593"/>
      <c r="O36" s="593"/>
      <c r="P36" s="592"/>
      <c r="Q36" s="593"/>
      <c r="R36" s="592"/>
      <c r="S36" s="588"/>
      <c r="T36" s="593"/>
      <c r="U36" s="593"/>
      <c r="V36" s="593"/>
      <c r="W36" s="592"/>
      <c r="X36" s="593"/>
      <c r="Y36" s="343"/>
      <c r="Z36" s="706"/>
      <c r="AA36" s="592"/>
      <c r="AB36" s="389"/>
      <c r="AC36" s="389"/>
      <c r="AD36" s="389"/>
      <c r="AE36" s="386">
        <f t="shared" si="0"/>
        <v>1</v>
      </c>
      <c r="AF36" s="278">
        <v>0</v>
      </c>
      <c r="AG36" s="278">
        <v>0</v>
      </c>
      <c r="AH36" s="278">
        <v>0</v>
      </c>
      <c r="AN36" s="413"/>
      <c r="AP36" s="386"/>
      <c r="AR36" s="386"/>
    </row>
    <row r="37" spans="1:44" ht="18.75" x14ac:dyDescent="0.25">
      <c r="A37" s="836">
        <v>28</v>
      </c>
      <c r="B37" s="1262" t="s">
        <v>67</v>
      </c>
      <c r="C37" s="1262"/>
      <c r="D37" s="594" t="s">
        <v>67</v>
      </c>
      <c r="E37" s="577"/>
      <c r="F37" s="577"/>
      <c r="G37" s="577"/>
      <c r="H37" s="577"/>
      <c r="I37" s="578" t="str">
        <f>IF(VLOOKUP($A37,'Pre-Assessment Estimator'!$A$10:$Z$224,I$2,FALSE)=0,"",VLOOKUP($A37,'Pre-Assessment Estimator'!$A$10:$Z$224,I$2,FALSE))</f>
        <v/>
      </c>
      <c r="J37" s="577" t="str">
        <f>IF(VLOOKUP($A37,'Pre-Assessment Estimator'!$A$10:$Z$224,J$2,FALSE)=0,"",VLOOKUP($A37,'Pre-Assessment Estimator'!$A$10:$Z$224,J$2,FALSE))</f>
        <v/>
      </c>
      <c r="K37" s="578" t="str">
        <f>IF(VLOOKUP($A37,'Pre-Assessment Estimator'!$A$10:$Z$224,K$2,FALSE)=0,"",VLOOKUP($A37,'Pre-Assessment Estimator'!$A$10:$Z$224,K$2,FALSE))</f>
        <v/>
      </c>
      <c r="L37" s="586"/>
      <c r="M37" s="577" t="str">
        <f>IF(VLOOKUP($A37,'Pre-Assessment Estimator'!$A$10:$Z$224,M$2,FALSE)=0,"",VLOOKUP($A37,'Pre-Assessment Estimator'!$A$10:$Z$224,M$2,FALSE))</f>
        <v/>
      </c>
      <c r="N37" s="577"/>
      <c r="O37" s="577"/>
      <c r="P37" s="578" t="str">
        <f>IF(VLOOKUP($A37,'Pre-Assessment Estimator'!$A$10:$Z$224,P$2,FALSE)=0,"",VLOOKUP($A37,'Pre-Assessment Estimator'!$A$10:$Z$224,P$2,FALSE))</f>
        <v/>
      </c>
      <c r="Q37" s="577" t="str">
        <f>IF(VLOOKUP($A37,'Pre-Assessment Estimator'!$A$10:$Z$224,Q$2,FALSE)=0,"",VLOOKUP($A37,'Pre-Assessment Estimator'!$A$10:$Z$224,Q$2,FALSE))</f>
        <v/>
      </c>
      <c r="R37" s="578" t="str">
        <f>IF(VLOOKUP($A37,'Pre-Assessment Estimator'!$A$10:$Z$224,R$2,FALSE)=0,"",VLOOKUP($A37,'Pre-Assessment Estimator'!$A$10:$Z$224,R$2,FALSE))</f>
        <v/>
      </c>
      <c r="S37" s="588"/>
      <c r="T37" s="577" t="str">
        <f>IF(VLOOKUP($A37,'Pre-Assessment Estimator'!$A$10:$Z$224,T$2,FALSE)=0,"",VLOOKUP($A37,'Pre-Assessment Estimator'!$A$10:$Z$224,T$2,FALSE))</f>
        <v/>
      </c>
      <c r="U37" s="577"/>
      <c r="V37" s="577"/>
      <c r="W37" s="578" t="str">
        <f>IF(VLOOKUP($A37,'Pre-Assessment Estimator'!$A$10:$Z$224,W$2,FALSE)=0,"",VLOOKUP($A37,'Pre-Assessment Estimator'!$A$10:$Z$224,W$2,FALSE))</f>
        <v/>
      </c>
      <c r="X37" s="577" t="str">
        <f>IF(VLOOKUP($A37,'Pre-Assessment Estimator'!$A$10:$Z$224,X$2,FALSE)=0,"",VLOOKUP($A37,'Pre-Assessment Estimator'!$A$10:$Z$224,X$2,FALSE))</f>
        <v/>
      </c>
      <c r="Y37" s="411" t="str">
        <f>IF(VLOOKUP($A37,'Pre-Assessment Estimator'!$A$10:$Z$224,Y$2,FALSE)=0,"",VLOOKUP($A37,'Pre-Assessment Estimator'!$A$10:$Z$224,Y$2,FALSE))</f>
        <v/>
      </c>
      <c r="Z37" s="704"/>
      <c r="AA37" s="708"/>
      <c r="AE37" s="386">
        <f t="shared" si="0"/>
        <v>1</v>
      </c>
      <c r="AF37" s="275">
        <v>0</v>
      </c>
      <c r="AG37" s="275">
        <v>0</v>
      </c>
      <c r="AH37" s="275">
        <v>0</v>
      </c>
      <c r="AN37" s="413"/>
      <c r="AP37" s="386"/>
      <c r="AR37" s="386"/>
    </row>
    <row r="38" spans="1:44" x14ac:dyDescent="0.25">
      <c r="A38" s="836">
        <v>29</v>
      </c>
      <c r="B38" s="1262" t="s">
        <v>67</v>
      </c>
      <c r="C38" s="1262"/>
      <c r="D38" s="993" t="str">
        <f>VLOOKUP($A38,'Pre-Assessment Estimator'!$A$10:$Z$224,D$2,FALSE)</f>
        <v>Hea 01 Visual comfort</v>
      </c>
      <c r="E38" s="581">
        <f>VLOOKUP($A38,'Pre-Assessment Estimator'!$A$10:$Z$224,E$2,FALSE)</f>
        <v>7</v>
      </c>
      <c r="F38" s="587" t="str">
        <f>IF(VLOOKUP($A38,'Pre-Assessment Estimator'!$A$10:$Z$224,F$2,FALSE)=0,"",VLOOKUP($A38,'Pre-Assessment Estimator'!$A$10:$Z$224,F$2,FALSE))</f>
        <v/>
      </c>
      <c r="G38" s="1239" t="str">
        <f>VLOOKUP($A38,'Pre-Assessment Estimator'!$A$10:$Z$224,G$2,FALSE)</f>
        <v>0 c. 0 %</v>
      </c>
      <c r="H38" s="583" t="str">
        <f>VLOOKUP($A38,'Pre-Assessment Estimator'!$A$10:$Z$224,H$2,FALSE)</f>
        <v>N/A</v>
      </c>
      <c r="I38" s="584" t="str">
        <f>IF(VLOOKUP($A38,'Pre-Assessment Estimator'!$A$10:$Z$224,I$2,FALSE)=0,"",VLOOKUP($A38,'Pre-Assessment Estimator'!$A$10:$Z$224,I$2,FALSE))</f>
        <v/>
      </c>
      <c r="J38" s="584" t="str">
        <f>IF(VLOOKUP($A38,'Pre-Assessment Estimator'!$A$10:$Z$224,J$2,FALSE)=0,"",VLOOKUP($A38,'Pre-Assessment Estimator'!$A$10:$Z$224,J$2,FALSE))</f>
        <v/>
      </c>
      <c r="K38" s="585" t="str">
        <f>IF(VLOOKUP($A38,'Pre-Assessment Estimator'!$A$10:$Z$224,K$2,FALSE)=0,"",VLOOKUP($A38,'Pre-Assessment Estimator'!$A$10:$Z$224,K$2,FALSE))</f>
        <v/>
      </c>
      <c r="L38" s="586"/>
      <c r="M38" s="587" t="str">
        <f>IF(VLOOKUP($A38,'Pre-Assessment Estimator'!$A$10:$Z$224,M$2,FALSE)=0,"",VLOOKUP($A38,'Pre-Assessment Estimator'!$A$10:$Z$224,M$2,FALSE))</f>
        <v/>
      </c>
      <c r="N38" s="582" t="str">
        <f>VLOOKUP($A38,'Pre-Assessment Estimator'!$A$10:$Z$224,N$2,FALSE)</f>
        <v>0 c. 0 %</v>
      </c>
      <c r="O38" s="581" t="str">
        <f>VLOOKUP($A38,'Pre-Assessment Estimator'!$A$10:$Z$224,O$2,FALSE)</f>
        <v>N/A</v>
      </c>
      <c r="P38" s="584" t="str">
        <f>IF(VLOOKUP($A38,'Pre-Assessment Estimator'!$A$10:$Z$224,P$2,FALSE)=0,"",VLOOKUP($A38,'Pre-Assessment Estimator'!$A$10:$Z$224,P$2,FALSE))</f>
        <v/>
      </c>
      <c r="Q38" s="584" t="str">
        <f>IF(VLOOKUP($A38,'Pre-Assessment Estimator'!$A$10:$Z$224,Q$2,FALSE)=0,"",VLOOKUP($A38,'Pre-Assessment Estimator'!$A$10:$Z$224,Q$2,FALSE))</f>
        <v/>
      </c>
      <c r="R38" s="585" t="str">
        <f>IF(VLOOKUP($A38,'Pre-Assessment Estimator'!$A$10:$Z$224,R$2,FALSE)=0,"",VLOOKUP($A38,'Pre-Assessment Estimator'!$A$10:$Z$224,R$2,FALSE))</f>
        <v/>
      </c>
      <c r="S38" s="588"/>
      <c r="T38" s="587" t="str">
        <f>IF(VLOOKUP($A38,'Pre-Assessment Estimator'!$A$10:$Z$224,T$2,FALSE)=0,"",VLOOKUP($A38,'Pre-Assessment Estimator'!$A$10:$Z$224,T$2,FALSE))</f>
        <v/>
      </c>
      <c r="U38" s="582" t="str">
        <f>VLOOKUP($A38,'Pre-Assessment Estimator'!$A$10:$Z$224,U$2,FALSE)</f>
        <v>0 c. 0 %</v>
      </c>
      <c r="V38" s="581" t="str">
        <f>VLOOKUP($A38,'Pre-Assessment Estimator'!$A$10:$Z$224,V$2,FALSE)</f>
        <v>N/A</v>
      </c>
      <c r="W38" s="584" t="str">
        <f>IF(VLOOKUP($A38,'Pre-Assessment Estimator'!$A$10:$Z$224,W$2,FALSE)=0,"",VLOOKUP($A38,'Pre-Assessment Estimator'!$A$10:$Z$224,W$2,FALSE))</f>
        <v/>
      </c>
      <c r="X38" s="584" t="str">
        <f>IF(VLOOKUP($A38,'Pre-Assessment Estimator'!$A$10:$Z$224,X$2,FALSE)=0,"",VLOOKUP($A38,'Pre-Assessment Estimator'!$A$10:$Z$224,X$2,FALSE))</f>
        <v/>
      </c>
      <c r="Y38" s="370" t="str">
        <f>IF(VLOOKUP($A38,'Pre-Assessment Estimator'!$A$10:$Z$224,Y$2,FALSE)=0,"",VLOOKUP($A38,'Pre-Assessment Estimator'!$A$10:$Z$224,Y$2,FALSE))</f>
        <v/>
      </c>
      <c r="Z38" s="705"/>
      <c r="AA38" s="584" t="str">
        <f>IF(VLOOKUP($A38,'Pre-Assessment Estimator'!$A$10:$AB$224,AA$2,FALSE)=0,"",VLOOKUP($A38,'Pre-Assessment Estimator'!$A$10:$AB$224,AA$2,FALSE))</f>
        <v/>
      </c>
      <c r="AE38" s="386">
        <f t="shared" si="0"/>
        <v>1</v>
      </c>
      <c r="AF38" s="95" t="e">
        <f>VLOOKUP(J38,'Assessment Details'!$O$45:$P$48,2,FALSE)</f>
        <v>#N/A</v>
      </c>
      <c r="AG38" s="95" t="e">
        <f>VLOOKUP(Q38,'Assessment Details'!$O$45:$P$48,2,FALSE)</f>
        <v>#N/A</v>
      </c>
      <c r="AH38" s="95" t="e">
        <f>VLOOKUP(X38,'Assessment Details'!$O$45:$P$48,2,FALSE)</f>
        <v>#N/A</v>
      </c>
      <c r="AP38" s="386"/>
      <c r="AR38" s="386"/>
    </row>
    <row r="39" spans="1:44" ht="30" x14ac:dyDescent="0.25">
      <c r="A39" s="836">
        <v>30</v>
      </c>
      <c r="B39" s="1262" t="s">
        <v>67</v>
      </c>
      <c r="C39" s="1262"/>
      <c r="D39" s="340" t="str">
        <f>VLOOKUP($A39,'Pre-Assessment Estimator'!$A$10:$Z$224,D$2,FALSE)</f>
        <v>Pre-requisite: flicker reduction and  daylight calculations</v>
      </c>
      <c r="E39" s="581" t="str">
        <f>VLOOKUP($A39,'Pre-Assessment Estimator'!$A$10:$Z$224,E$2,FALSE)</f>
        <v>Yes/No</v>
      </c>
      <c r="F39" s="587" t="str">
        <f>IF(VLOOKUP($A39,'Pre-Assessment Estimator'!$A$10:$Z$224,F$2,FALSE)=0,"",VLOOKUP($A39,'Pre-Assessment Estimator'!$A$10:$Z$224,F$2,FALSE))</f>
        <v/>
      </c>
      <c r="G39" s="1239" t="str">
        <f>VLOOKUP($A39,'Pre-Assessment Estimator'!$A$10:$Z$224,G$2,FALSE)</f>
        <v>-</v>
      </c>
      <c r="H39" s="583" t="str">
        <f>VLOOKUP($A39,'Pre-Assessment Estimator'!$A$10:$Z$224,H$2,FALSE)</f>
        <v>Unclassified</v>
      </c>
      <c r="I39" s="584" t="str">
        <f>IF(VLOOKUP($A39,'Pre-Assessment Estimator'!$A$10:$Z$224,I$2,FALSE)=0,"",VLOOKUP($A39,'Pre-Assessment Estimator'!$A$10:$Z$224,I$2,FALSE))</f>
        <v/>
      </c>
      <c r="J39" s="584" t="str">
        <f>IF(VLOOKUP($A39,'Pre-Assessment Estimator'!$A$10:$Z$224,J$2,FALSE)=0,"",VLOOKUP($A39,'Pre-Assessment Estimator'!$A$10:$Z$224,J$2,FALSE))</f>
        <v xml:space="preserve"> </v>
      </c>
      <c r="K39" s="585" t="str">
        <f>IF(VLOOKUP($A39,'Pre-Assessment Estimator'!$A$10:$Z$224,K$2,FALSE)=0,"",VLOOKUP($A39,'Pre-Assessment Estimator'!$A$10:$Z$224,K$2,FALSE))</f>
        <v/>
      </c>
      <c r="L39" s="586"/>
      <c r="M39" s="587" t="str">
        <f>IF(VLOOKUP($A39,'Pre-Assessment Estimator'!$A$10:$Z$224,M$2,FALSE)=0,"",VLOOKUP($A39,'Pre-Assessment Estimator'!$A$10:$Z$224,M$2,FALSE))</f>
        <v/>
      </c>
      <c r="N39" s="582" t="str">
        <f>VLOOKUP($A39,'Pre-Assessment Estimator'!$A$10:$Z$224,N$2,FALSE)</f>
        <v>-</v>
      </c>
      <c r="O39" s="581" t="str">
        <f>VLOOKUP($A39,'Pre-Assessment Estimator'!$A$10:$Z$224,O$2,FALSE)</f>
        <v>Unclassified</v>
      </c>
      <c r="P39" s="584" t="str">
        <f>IF(VLOOKUP($A39,'Pre-Assessment Estimator'!$A$10:$Z$224,P$2,FALSE)=0,"",VLOOKUP($A39,'Pre-Assessment Estimator'!$A$10:$Z$224,P$2,FALSE))</f>
        <v/>
      </c>
      <c r="Q39" s="584" t="str">
        <f>IF(VLOOKUP($A39,'Pre-Assessment Estimator'!$A$10:$Z$224,Q$2,FALSE)=0,"",VLOOKUP($A39,'Pre-Assessment Estimator'!$A$10:$Z$224,Q$2,FALSE))</f>
        <v/>
      </c>
      <c r="R39" s="585" t="str">
        <f>IF(VLOOKUP($A39,'Pre-Assessment Estimator'!$A$10:$Z$224,R$2,FALSE)=0,"",VLOOKUP($A39,'Pre-Assessment Estimator'!$A$10:$Z$224,R$2,FALSE))</f>
        <v/>
      </c>
      <c r="S39" s="588"/>
      <c r="T39" s="587" t="str">
        <f>IF(VLOOKUP($A39,'Pre-Assessment Estimator'!$A$10:$Z$224,T$2,FALSE)=0,"",VLOOKUP($A39,'Pre-Assessment Estimator'!$A$10:$Z$224,T$2,FALSE))</f>
        <v/>
      </c>
      <c r="U39" s="582" t="str">
        <f>VLOOKUP($A39,'Pre-Assessment Estimator'!$A$10:$Z$224,U$2,FALSE)</f>
        <v>-</v>
      </c>
      <c r="V39" s="581" t="str">
        <f>VLOOKUP($A39,'Pre-Assessment Estimator'!$A$10:$Z$224,V$2,FALSE)</f>
        <v>Unclassified</v>
      </c>
      <c r="W39" s="584" t="str">
        <f>IF(VLOOKUP($A39,'Pre-Assessment Estimator'!$A$10:$Z$224,W$2,FALSE)=0,"",VLOOKUP($A39,'Pre-Assessment Estimator'!$A$10:$Z$224,W$2,FALSE))</f>
        <v/>
      </c>
      <c r="X39" s="584" t="str">
        <f>IF(VLOOKUP($A39,'Pre-Assessment Estimator'!$A$10:$Z$224,X$2,FALSE)=0,"",VLOOKUP($A39,'Pre-Assessment Estimator'!$A$10:$Z$224,X$2,FALSE))</f>
        <v/>
      </c>
      <c r="Y39" s="370" t="str">
        <f>IF(VLOOKUP($A39,'Pre-Assessment Estimator'!$A$10:$Z$224,Y$2,FALSE)=0,"",VLOOKUP($A39,'Pre-Assessment Estimator'!$A$10:$Z$224,Y$2,FALSE))</f>
        <v/>
      </c>
      <c r="Z39" s="705"/>
      <c r="AA39" s="584" t="str">
        <f>IF(VLOOKUP($A39,'Pre-Assessment Estimator'!$A$10:$AB$224,AA$2,FALSE)=0,"",VLOOKUP($A39,'Pre-Assessment Estimator'!$A$10:$AB$224,AA$2,FALSE))</f>
        <v/>
      </c>
      <c r="AE39" s="386">
        <f t="shared" si="0"/>
        <v>1</v>
      </c>
      <c r="AF39" s="95">
        <f>VLOOKUP(J39,'Assessment Details'!$O$45:$P$48,2,FALSE)</f>
        <v>4</v>
      </c>
      <c r="AG39" s="95" t="e">
        <f>VLOOKUP(Q39,'Assessment Details'!$O$45:$P$48,2,FALSE)</f>
        <v>#N/A</v>
      </c>
      <c r="AH39" s="95" t="e">
        <f>VLOOKUP(X39,'Assessment Details'!$O$45:$P$48,2,FALSE)</f>
        <v>#N/A</v>
      </c>
      <c r="AP39" s="386"/>
      <c r="AR39" s="386"/>
    </row>
    <row r="40" spans="1:44" x14ac:dyDescent="0.25">
      <c r="A40" s="836">
        <v>31</v>
      </c>
      <c r="B40" s="1262" t="s">
        <v>67</v>
      </c>
      <c r="C40" s="1262"/>
      <c r="D40" s="340" t="str">
        <f>VLOOKUP($A40,'Pre-Assessment Estimator'!$A$10:$Z$224,D$2,FALSE)</f>
        <v>Daylighting</v>
      </c>
      <c r="E40" s="581">
        <f>VLOOKUP($A40,'Pre-Assessment Estimator'!$A$10:$Z$224,E$2,FALSE)</f>
        <v>3</v>
      </c>
      <c r="F40" s="587" t="str">
        <f>IF(VLOOKUP($A40,'Pre-Assessment Estimator'!$A$10:$Z$224,F$2,FALSE)=0,"",VLOOKUP($A40,'Pre-Assessment Estimator'!$A$10:$Z$224,F$2,FALSE))</f>
        <v/>
      </c>
      <c r="G40" s="1239">
        <f>VLOOKUP($A40,'Pre-Assessment Estimator'!$A$10:$Z$224,G$2,FALSE)</f>
        <v>0</v>
      </c>
      <c r="H40" s="583" t="str">
        <f>VLOOKUP($A40,'Pre-Assessment Estimator'!$A$10:$Z$224,H$2,FALSE)</f>
        <v>N/A</v>
      </c>
      <c r="I40" s="584" t="str">
        <f>IF(VLOOKUP($A40,'Pre-Assessment Estimator'!$A$10:$Z$224,I$2,FALSE)=0,"",VLOOKUP($A40,'Pre-Assessment Estimator'!$A$10:$Z$224,I$2,FALSE))</f>
        <v/>
      </c>
      <c r="J40" s="584" t="str">
        <f>IF(VLOOKUP($A40,'Pre-Assessment Estimator'!$A$10:$Z$224,J$2,FALSE)=0,"",VLOOKUP($A40,'Pre-Assessment Estimator'!$A$10:$Z$224,J$2,FALSE))</f>
        <v xml:space="preserve"> </v>
      </c>
      <c r="K40" s="585" t="str">
        <f>IF(VLOOKUP($A40,'Pre-Assessment Estimator'!$A$10:$Z$224,K$2,FALSE)=0,"",VLOOKUP($A40,'Pre-Assessment Estimator'!$A$10:$Z$224,K$2,FALSE))</f>
        <v/>
      </c>
      <c r="L40" s="586"/>
      <c r="M40" s="587" t="str">
        <f>IF(VLOOKUP($A40,'Pre-Assessment Estimator'!$A$10:$Z$224,M$2,FALSE)=0,"",VLOOKUP($A40,'Pre-Assessment Estimator'!$A$10:$Z$224,M$2,FALSE))</f>
        <v/>
      </c>
      <c r="N40" s="582">
        <f>VLOOKUP($A40,'Pre-Assessment Estimator'!$A$10:$Z$224,N$2,FALSE)</f>
        <v>0</v>
      </c>
      <c r="O40" s="581" t="str">
        <f>VLOOKUP($A40,'Pre-Assessment Estimator'!$A$10:$Z$224,O$2,FALSE)</f>
        <v>N/A</v>
      </c>
      <c r="P40" s="584" t="str">
        <f>IF(VLOOKUP($A40,'Pre-Assessment Estimator'!$A$10:$Z$224,P$2,FALSE)=0,"",VLOOKUP($A40,'Pre-Assessment Estimator'!$A$10:$Z$224,P$2,FALSE))</f>
        <v/>
      </c>
      <c r="Q40" s="584" t="str">
        <f>IF(VLOOKUP($A40,'Pre-Assessment Estimator'!$A$10:$Z$224,Q$2,FALSE)=0,"",VLOOKUP($A40,'Pre-Assessment Estimator'!$A$10:$Z$224,Q$2,FALSE))</f>
        <v xml:space="preserve"> </v>
      </c>
      <c r="R40" s="585" t="str">
        <f>IF(VLOOKUP($A40,'Pre-Assessment Estimator'!$A$10:$Z$224,R$2,FALSE)=0,"",VLOOKUP($A40,'Pre-Assessment Estimator'!$A$10:$Z$224,R$2,FALSE))</f>
        <v/>
      </c>
      <c r="S40" s="588"/>
      <c r="T40" s="587" t="str">
        <f>IF(VLOOKUP($A40,'Pre-Assessment Estimator'!$A$10:$Z$224,T$2,FALSE)=0,"",VLOOKUP($A40,'Pre-Assessment Estimator'!$A$10:$Z$224,T$2,FALSE))</f>
        <v/>
      </c>
      <c r="U40" s="582">
        <f>VLOOKUP($A40,'Pre-Assessment Estimator'!$A$10:$Z$224,U$2,FALSE)</f>
        <v>0</v>
      </c>
      <c r="V40" s="581" t="str">
        <f>VLOOKUP($A40,'Pre-Assessment Estimator'!$A$10:$Z$224,V$2,FALSE)</f>
        <v>N/A</v>
      </c>
      <c r="W40" s="584" t="str">
        <f>IF(VLOOKUP($A40,'Pre-Assessment Estimator'!$A$10:$Z$224,W$2,FALSE)=0,"",VLOOKUP($A40,'Pre-Assessment Estimator'!$A$10:$Z$224,W$2,FALSE))</f>
        <v/>
      </c>
      <c r="X40" s="584" t="str">
        <f>IF(VLOOKUP($A40,'Pre-Assessment Estimator'!$A$10:$Z$224,X$2,FALSE)=0,"",VLOOKUP($A40,'Pre-Assessment Estimator'!$A$10:$Z$224,X$2,FALSE))</f>
        <v/>
      </c>
      <c r="Y40" s="370" t="str">
        <f>IF(VLOOKUP($A40,'Pre-Assessment Estimator'!$A$10:$Z$224,Y$2,FALSE)=0,"",VLOOKUP($A40,'Pre-Assessment Estimator'!$A$10:$Z$224,Y$2,FALSE))</f>
        <v/>
      </c>
      <c r="Z40" s="705"/>
      <c r="AA40" s="584" t="str">
        <f>IF(VLOOKUP($A40,'Pre-Assessment Estimator'!$A$10:$AB$224,AA$2,FALSE)=0,"",VLOOKUP($A40,'Pre-Assessment Estimator'!$A$10:$AB$224,AA$2,FALSE))</f>
        <v/>
      </c>
      <c r="AE40" s="386">
        <f t="shared" si="0"/>
        <v>1</v>
      </c>
      <c r="AF40" s="95">
        <f>VLOOKUP(J40,'Assessment Details'!$O$45:$P$48,2,FALSE)</f>
        <v>4</v>
      </c>
      <c r="AG40" s="95">
        <f>VLOOKUP(Q40,'Assessment Details'!$O$45:$P$48,2,FALSE)</f>
        <v>4</v>
      </c>
      <c r="AH40" s="95" t="e">
        <f>VLOOKUP(X40,'Assessment Details'!$O$45:$P$48,2,FALSE)</f>
        <v>#N/A</v>
      </c>
      <c r="AP40" s="386"/>
      <c r="AQ40" s="386"/>
      <c r="AR40" s="386"/>
    </row>
    <row r="41" spans="1:44" x14ac:dyDescent="0.25">
      <c r="A41" s="836">
        <v>32</v>
      </c>
      <c r="B41" s="1262" t="s">
        <v>67</v>
      </c>
      <c r="C41" s="1262"/>
      <c r="D41" s="340" t="str">
        <f>VLOOKUP($A41,'Pre-Assessment Estimator'!$A$10:$Z$224,D$2,FALSE)</f>
        <v xml:space="preserve">Control of glare from sunlight </v>
      </c>
      <c r="E41" s="581">
        <f>VLOOKUP($A41,'Pre-Assessment Estimator'!$A$10:$Z$224,E$2,FALSE)</f>
        <v>1</v>
      </c>
      <c r="F41" s="587" t="str">
        <f>IF(VLOOKUP($A41,'Pre-Assessment Estimator'!$A$10:$Z$224,F$2,FALSE)=0,"",VLOOKUP($A41,'Pre-Assessment Estimator'!$A$10:$Z$224,F$2,FALSE))</f>
        <v/>
      </c>
      <c r="G41" s="1239">
        <f>VLOOKUP($A41,'Pre-Assessment Estimator'!$A$10:$Z$224,G$2,FALSE)</f>
        <v>0</v>
      </c>
      <c r="H41" s="583" t="str">
        <f>VLOOKUP($A41,'Pre-Assessment Estimator'!$A$10:$Z$224,H$2,FALSE)</f>
        <v>N/A</v>
      </c>
      <c r="I41" s="584" t="str">
        <f>IF(VLOOKUP($A41,'Pre-Assessment Estimator'!$A$10:$Z$224,I$2,FALSE)=0,"",VLOOKUP($A41,'Pre-Assessment Estimator'!$A$10:$Z$224,I$2,FALSE))</f>
        <v/>
      </c>
      <c r="J41" s="584" t="str">
        <f>IF(VLOOKUP($A41,'Pre-Assessment Estimator'!$A$10:$Z$224,J$2,FALSE)=0,"",VLOOKUP($A41,'Pre-Assessment Estimator'!$A$10:$Z$224,J$2,FALSE))</f>
        <v/>
      </c>
      <c r="K41" s="585" t="str">
        <f>IF(VLOOKUP($A41,'Pre-Assessment Estimator'!$A$10:$Z$224,K$2,FALSE)=0,"",VLOOKUP($A41,'Pre-Assessment Estimator'!$A$10:$Z$224,K$2,FALSE))</f>
        <v/>
      </c>
      <c r="L41" s="586"/>
      <c r="M41" s="587" t="str">
        <f>IF(VLOOKUP($A41,'Pre-Assessment Estimator'!$A$10:$Z$224,M$2,FALSE)=0,"",VLOOKUP($A41,'Pre-Assessment Estimator'!$A$10:$Z$224,M$2,FALSE))</f>
        <v/>
      </c>
      <c r="N41" s="582">
        <f>VLOOKUP($A41,'Pre-Assessment Estimator'!$A$10:$Z$224,N$2,FALSE)</f>
        <v>0</v>
      </c>
      <c r="O41" s="581" t="str">
        <f>VLOOKUP($A41,'Pre-Assessment Estimator'!$A$10:$Z$224,O$2,FALSE)</f>
        <v>N/A</v>
      </c>
      <c r="P41" s="584" t="str">
        <f>IF(VLOOKUP($A41,'Pre-Assessment Estimator'!$A$10:$Z$224,P$2,FALSE)=0,"",VLOOKUP($A41,'Pre-Assessment Estimator'!$A$10:$Z$224,P$2,FALSE))</f>
        <v/>
      </c>
      <c r="Q41" s="584" t="str">
        <f>IF(VLOOKUP($A41,'Pre-Assessment Estimator'!$A$10:$Z$224,Q$2,FALSE)=0,"",VLOOKUP($A41,'Pre-Assessment Estimator'!$A$10:$Z$224,Q$2,FALSE))</f>
        <v/>
      </c>
      <c r="R41" s="585" t="str">
        <f>IF(VLOOKUP($A41,'Pre-Assessment Estimator'!$A$10:$Z$224,R$2,FALSE)=0,"",VLOOKUP($A41,'Pre-Assessment Estimator'!$A$10:$Z$224,R$2,FALSE))</f>
        <v/>
      </c>
      <c r="S41" s="588"/>
      <c r="T41" s="587" t="str">
        <f>IF(VLOOKUP($A41,'Pre-Assessment Estimator'!$A$10:$Z$224,T$2,FALSE)=0,"",VLOOKUP($A41,'Pre-Assessment Estimator'!$A$10:$Z$224,T$2,FALSE))</f>
        <v/>
      </c>
      <c r="U41" s="582">
        <f>VLOOKUP($A41,'Pre-Assessment Estimator'!$A$10:$Z$224,U$2,FALSE)</f>
        <v>0</v>
      </c>
      <c r="V41" s="581" t="str">
        <f>VLOOKUP($A41,'Pre-Assessment Estimator'!$A$10:$Z$224,V$2,FALSE)</f>
        <v>N/A</v>
      </c>
      <c r="W41" s="584" t="str">
        <f>IF(VLOOKUP($A41,'Pre-Assessment Estimator'!$A$10:$Z$224,W$2,FALSE)=0,"",VLOOKUP($A41,'Pre-Assessment Estimator'!$A$10:$Z$224,W$2,FALSE))</f>
        <v/>
      </c>
      <c r="X41" s="584" t="str">
        <f>IF(VLOOKUP($A41,'Pre-Assessment Estimator'!$A$10:$Z$224,X$2,FALSE)=0,"",VLOOKUP($A41,'Pre-Assessment Estimator'!$A$10:$Z$224,X$2,FALSE))</f>
        <v/>
      </c>
      <c r="Y41" s="370" t="str">
        <f>IF(VLOOKUP($A41,'Pre-Assessment Estimator'!$A$10:$Z$224,Y$2,FALSE)=0,"",VLOOKUP($A41,'Pre-Assessment Estimator'!$A$10:$Z$224,Y$2,FALSE))</f>
        <v/>
      </c>
      <c r="Z41" s="705"/>
      <c r="AA41" s="584" t="str">
        <f>IF(VLOOKUP($A41,'Pre-Assessment Estimator'!$A$10:$AB$224,AA$2,FALSE)=0,"",VLOOKUP($A41,'Pre-Assessment Estimator'!$A$10:$AB$224,AA$2,FALSE))</f>
        <v/>
      </c>
      <c r="AE41" s="386">
        <f t="shared" si="0"/>
        <v>1</v>
      </c>
      <c r="AF41" s="95" t="e">
        <f>VLOOKUP(J41,'Assessment Details'!$O$45:$P$48,2,FALSE)</f>
        <v>#N/A</v>
      </c>
      <c r="AG41" s="95" t="e">
        <f>VLOOKUP(Q41,'Assessment Details'!$O$45:$P$48,2,FALSE)</f>
        <v>#N/A</v>
      </c>
      <c r="AH41" s="95" t="e">
        <f>VLOOKUP(X41,'Assessment Details'!$O$45:$P$48,2,FALSE)</f>
        <v>#N/A</v>
      </c>
      <c r="AP41" s="386"/>
      <c r="AQ41" s="386"/>
      <c r="AR41" s="386"/>
    </row>
    <row r="42" spans="1:44" x14ac:dyDescent="0.25">
      <c r="A42" s="836">
        <v>33</v>
      </c>
      <c r="B42" s="1262" t="s">
        <v>67</v>
      </c>
      <c r="C42" s="1262"/>
      <c r="D42" s="340" t="str">
        <f>VLOOKUP($A42,'Pre-Assessment Estimator'!$A$10:$Z$224,D$2,FALSE)</f>
        <v xml:space="preserve">View out </v>
      </c>
      <c r="E42" s="581">
        <f>VLOOKUP($A42,'Pre-Assessment Estimator'!$A$10:$Z$224,E$2,FALSE)</f>
        <v>1</v>
      </c>
      <c r="F42" s="587" t="str">
        <f>IF(VLOOKUP($A42,'Pre-Assessment Estimator'!$A$10:$Z$224,F$2,FALSE)=0,"",VLOOKUP($A42,'Pre-Assessment Estimator'!$A$10:$Z$224,F$2,FALSE))</f>
        <v/>
      </c>
      <c r="G42" s="1239">
        <f>VLOOKUP($A42,'Pre-Assessment Estimator'!$A$10:$Z$224,G$2,FALSE)</f>
        <v>0</v>
      </c>
      <c r="H42" s="583" t="str">
        <f>VLOOKUP($A42,'Pre-Assessment Estimator'!$A$10:$Z$224,H$2,FALSE)</f>
        <v>N/A</v>
      </c>
      <c r="I42" s="584" t="str">
        <f>IF(VLOOKUP($A42,'Pre-Assessment Estimator'!$A$10:$Z$224,I$2,FALSE)=0,"",VLOOKUP($A42,'Pre-Assessment Estimator'!$A$10:$Z$224,I$2,FALSE))</f>
        <v/>
      </c>
      <c r="J42" s="584" t="str">
        <f>IF(VLOOKUP($A42,'Pre-Assessment Estimator'!$A$10:$Z$224,J$2,FALSE)=0,"",VLOOKUP($A42,'Pre-Assessment Estimator'!$A$10:$Z$224,J$2,FALSE))</f>
        <v/>
      </c>
      <c r="K42" s="585" t="str">
        <f>IF(VLOOKUP($A42,'Pre-Assessment Estimator'!$A$10:$Z$224,K$2,FALSE)=0,"",VLOOKUP($A42,'Pre-Assessment Estimator'!$A$10:$Z$224,K$2,FALSE))</f>
        <v/>
      </c>
      <c r="L42" s="586"/>
      <c r="M42" s="587" t="str">
        <f>IF(VLOOKUP($A42,'Pre-Assessment Estimator'!$A$10:$Z$224,M$2,FALSE)=0,"",VLOOKUP($A42,'Pre-Assessment Estimator'!$A$10:$Z$224,M$2,FALSE))</f>
        <v/>
      </c>
      <c r="N42" s="582">
        <f>VLOOKUP($A42,'Pre-Assessment Estimator'!$A$10:$Z$224,N$2,FALSE)</f>
        <v>0</v>
      </c>
      <c r="O42" s="581" t="str">
        <f>VLOOKUP($A42,'Pre-Assessment Estimator'!$A$10:$Z$224,O$2,FALSE)</f>
        <v>N/A</v>
      </c>
      <c r="P42" s="584" t="str">
        <f>IF(VLOOKUP($A42,'Pre-Assessment Estimator'!$A$10:$Z$224,P$2,FALSE)=0,"",VLOOKUP($A42,'Pre-Assessment Estimator'!$A$10:$Z$224,P$2,FALSE))</f>
        <v/>
      </c>
      <c r="Q42" s="584" t="str">
        <f>IF(VLOOKUP($A42,'Pre-Assessment Estimator'!$A$10:$Z$224,Q$2,FALSE)=0,"",VLOOKUP($A42,'Pre-Assessment Estimator'!$A$10:$Z$224,Q$2,FALSE))</f>
        <v/>
      </c>
      <c r="R42" s="585" t="str">
        <f>IF(VLOOKUP($A42,'Pre-Assessment Estimator'!$A$10:$Z$224,R$2,FALSE)=0,"",VLOOKUP($A42,'Pre-Assessment Estimator'!$A$10:$Z$224,R$2,FALSE))</f>
        <v/>
      </c>
      <c r="S42" s="588"/>
      <c r="T42" s="587" t="str">
        <f>IF(VLOOKUP($A42,'Pre-Assessment Estimator'!$A$10:$Z$224,T$2,FALSE)=0,"",VLOOKUP($A42,'Pre-Assessment Estimator'!$A$10:$Z$224,T$2,FALSE))</f>
        <v/>
      </c>
      <c r="U42" s="582">
        <f>VLOOKUP($A42,'Pre-Assessment Estimator'!$A$10:$Z$224,U$2,FALSE)</f>
        <v>0</v>
      </c>
      <c r="V42" s="581" t="str">
        <f>VLOOKUP($A42,'Pre-Assessment Estimator'!$A$10:$Z$224,V$2,FALSE)</f>
        <v>N/A</v>
      </c>
      <c r="W42" s="584" t="str">
        <f>IF(VLOOKUP($A42,'Pre-Assessment Estimator'!$A$10:$Z$224,W$2,FALSE)=0,"",VLOOKUP($A42,'Pre-Assessment Estimator'!$A$10:$Z$224,W$2,FALSE))</f>
        <v/>
      </c>
      <c r="X42" s="584" t="str">
        <f>IF(VLOOKUP($A42,'Pre-Assessment Estimator'!$A$10:$Z$224,X$2,FALSE)=0,"",VLOOKUP($A42,'Pre-Assessment Estimator'!$A$10:$Z$224,X$2,FALSE))</f>
        <v/>
      </c>
      <c r="Y42" s="370" t="str">
        <f>IF(VLOOKUP($A42,'Pre-Assessment Estimator'!$A$10:$Z$224,Y$2,FALSE)=0,"",VLOOKUP($A42,'Pre-Assessment Estimator'!$A$10:$Z$224,Y$2,FALSE))</f>
        <v/>
      </c>
      <c r="Z42" s="705"/>
      <c r="AA42" s="584" t="str">
        <f>IF(VLOOKUP($A42,'Pre-Assessment Estimator'!$A$10:$AB$224,AA$2,FALSE)=0,"",VLOOKUP($A42,'Pre-Assessment Estimator'!$A$10:$AB$224,AA$2,FALSE))</f>
        <v/>
      </c>
      <c r="AE42" s="386">
        <f t="shared" si="0"/>
        <v>1</v>
      </c>
      <c r="AF42" s="95" t="e">
        <f>VLOOKUP(J42,'Assessment Details'!$O$45:$P$48,2,FALSE)</f>
        <v>#N/A</v>
      </c>
      <c r="AG42" s="95" t="e">
        <f>VLOOKUP(Q42,'Assessment Details'!$O$45:$P$48,2,FALSE)</f>
        <v>#N/A</v>
      </c>
      <c r="AH42" s="95" t="e">
        <f>VLOOKUP(X42,'Assessment Details'!$O$45:$P$48,2,FALSE)</f>
        <v>#N/A</v>
      </c>
      <c r="AP42" s="386"/>
      <c r="AQ42" s="386"/>
      <c r="AR42" s="386"/>
    </row>
    <row r="43" spans="1:44" x14ac:dyDescent="0.25">
      <c r="A43" s="836">
        <v>34</v>
      </c>
      <c r="B43" s="1262"/>
      <c r="C43" s="1262"/>
      <c r="D43" s="340" t="str">
        <f>VLOOKUP($A43,'Pre-Assessment Estimator'!$A$10:$Z$224,D$2,FALSE)</f>
        <v xml:space="preserve">Sunlight </v>
      </c>
      <c r="E43" s="581">
        <f>VLOOKUP($A43,'Pre-Assessment Estimator'!$A$10:$Z$224,E$2,FALSE)</f>
        <v>1</v>
      </c>
      <c r="F43" s="587" t="str">
        <f>IF(VLOOKUP($A43,'Pre-Assessment Estimator'!$A$10:$Z$224,F$2,FALSE)=0,"",VLOOKUP($A43,'Pre-Assessment Estimator'!$A$10:$Z$224,F$2,FALSE))</f>
        <v/>
      </c>
      <c r="G43" s="1239">
        <f>VLOOKUP($A43,'Pre-Assessment Estimator'!$A$10:$Z$224,G$2,FALSE)</f>
        <v>0</v>
      </c>
      <c r="H43" s="583" t="str">
        <f>VLOOKUP($A43,'Pre-Assessment Estimator'!$A$10:$Z$224,H$2,FALSE)</f>
        <v>N/A</v>
      </c>
      <c r="I43" s="584" t="str">
        <f>IF(VLOOKUP($A43,'Pre-Assessment Estimator'!$A$10:$Z$224,I$2,FALSE)=0,"",VLOOKUP($A43,'Pre-Assessment Estimator'!$A$10:$Z$224,I$2,FALSE))</f>
        <v/>
      </c>
      <c r="J43" s="584" t="str">
        <f>IF(VLOOKUP($A43,'Pre-Assessment Estimator'!$A$10:$Z$224,J$2,FALSE)=0,"",VLOOKUP($A43,'Pre-Assessment Estimator'!$A$10:$Z$224,J$2,FALSE))</f>
        <v/>
      </c>
      <c r="K43" s="585" t="str">
        <f>IF(VLOOKUP($A43,'Pre-Assessment Estimator'!$A$10:$Z$224,K$2,FALSE)=0,"",VLOOKUP($A43,'Pre-Assessment Estimator'!$A$10:$Z$224,K$2,FALSE))</f>
        <v/>
      </c>
      <c r="L43" s="586"/>
      <c r="M43" s="587" t="str">
        <f>IF(VLOOKUP($A43,'Pre-Assessment Estimator'!$A$10:$Z$224,M$2,FALSE)=0,"",VLOOKUP($A43,'Pre-Assessment Estimator'!$A$10:$Z$224,M$2,FALSE))</f>
        <v/>
      </c>
      <c r="N43" s="582">
        <f>VLOOKUP($A43,'Pre-Assessment Estimator'!$A$10:$Z$224,N$2,FALSE)</f>
        <v>0</v>
      </c>
      <c r="O43" s="581" t="str">
        <f>VLOOKUP($A43,'Pre-Assessment Estimator'!$A$10:$Z$224,O$2,FALSE)</f>
        <v>N/A</v>
      </c>
      <c r="P43" s="584" t="str">
        <f>IF(VLOOKUP($A43,'Pre-Assessment Estimator'!$A$10:$Z$224,P$2,FALSE)=0,"",VLOOKUP($A43,'Pre-Assessment Estimator'!$A$10:$Z$224,P$2,FALSE))</f>
        <v/>
      </c>
      <c r="Q43" s="584" t="str">
        <f>IF(VLOOKUP($A43,'Pre-Assessment Estimator'!$A$10:$Z$224,Q$2,FALSE)=0,"",VLOOKUP($A43,'Pre-Assessment Estimator'!$A$10:$Z$224,Q$2,FALSE))</f>
        <v/>
      </c>
      <c r="R43" s="585" t="str">
        <f>IF(VLOOKUP($A43,'Pre-Assessment Estimator'!$A$10:$Z$224,R$2,FALSE)=0,"",VLOOKUP($A43,'Pre-Assessment Estimator'!$A$10:$Z$224,R$2,FALSE))</f>
        <v/>
      </c>
      <c r="S43" s="588"/>
      <c r="T43" s="587" t="str">
        <f>IF(VLOOKUP($A43,'Pre-Assessment Estimator'!$A$10:$Z$224,T$2,FALSE)=0,"",VLOOKUP($A43,'Pre-Assessment Estimator'!$A$10:$Z$224,T$2,FALSE))</f>
        <v/>
      </c>
      <c r="U43" s="582">
        <f>VLOOKUP($A43,'Pre-Assessment Estimator'!$A$10:$Z$224,U$2,FALSE)</f>
        <v>0</v>
      </c>
      <c r="V43" s="581" t="str">
        <f>VLOOKUP($A43,'Pre-Assessment Estimator'!$A$10:$Z$224,V$2,FALSE)</f>
        <v>N/A</v>
      </c>
      <c r="W43" s="584" t="str">
        <f>IF(VLOOKUP($A43,'Pre-Assessment Estimator'!$A$10:$Z$224,W$2,FALSE)=0,"",VLOOKUP($A43,'Pre-Assessment Estimator'!$A$10:$Z$224,W$2,FALSE))</f>
        <v/>
      </c>
      <c r="X43" s="584" t="str">
        <f>IF(VLOOKUP($A43,'Pre-Assessment Estimator'!$A$10:$Z$224,X$2,FALSE)=0,"",VLOOKUP($A43,'Pre-Assessment Estimator'!$A$10:$Z$224,X$2,FALSE))</f>
        <v/>
      </c>
      <c r="Y43" s="370" t="str">
        <f>IF(VLOOKUP($A43,'Pre-Assessment Estimator'!$A$10:$Z$224,Y$2,FALSE)=0,"",VLOOKUP($A43,'Pre-Assessment Estimator'!$A$10:$Z$224,Y$2,FALSE))</f>
        <v/>
      </c>
      <c r="Z43" s="705"/>
      <c r="AA43" s="584"/>
      <c r="AE43" s="386">
        <f t="shared" si="0"/>
        <v>1</v>
      </c>
      <c r="AF43" s="95" t="e">
        <f>VLOOKUP(J43,'Assessment Details'!$O$45:$P$48,2,FALSE)</f>
        <v>#N/A</v>
      </c>
      <c r="AG43" s="95" t="e">
        <f>VLOOKUP(Q43,'Assessment Details'!$O$45:$P$48,2,FALSE)</f>
        <v>#N/A</v>
      </c>
      <c r="AH43" s="95" t="e">
        <f>VLOOKUP(X43,'Assessment Details'!$O$45:$P$48,2,FALSE)</f>
        <v>#N/A</v>
      </c>
      <c r="AP43" s="386"/>
      <c r="AQ43" s="386"/>
      <c r="AR43" s="386"/>
    </row>
    <row r="44" spans="1:44" x14ac:dyDescent="0.25">
      <c r="A44" s="836">
        <v>35</v>
      </c>
      <c r="B44" s="1262"/>
      <c r="C44" s="1262"/>
      <c r="D44" s="340" t="str">
        <f>VLOOKUP($A44,'Pre-Assessment Estimator'!$A$10:$Z$224,D$2,FALSE)</f>
        <v xml:space="preserve">Internal and external lighting levels, zoning and control </v>
      </c>
      <c r="E44" s="581">
        <f>VLOOKUP($A44,'Pre-Assessment Estimator'!$A$10:$Z$224,E$2,FALSE)</f>
        <v>1</v>
      </c>
      <c r="F44" s="587" t="str">
        <f>IF(VLOOKUP($A44,'Pre-Assessment Estimator'!$A$10:$Z$224,F$2,FALSE)=0,"",VLOOKUP($A44,'Pre-Assessment Estimator'!$A$10:$Z$224,F$2,FALSE))</f>
        <v/>
      </c>
      <c r="G44" s="1239">
        <f>VLOOKUP($A44,'Pre-Assessment Estimator'!$A$10:$Z$224,G$2,FALSE)</f>
        <v>0</v>
      </c>
      <c r="H44" s="583" t="str">
        <f>VLOOKUP($A44,'Pre-Assessment Estimator'!$A$10:$Z$224,H$2,FALSE)</f>
        <v>N/A</v>
      </c>
      <c r="I44" s="584" t="str">
        <f>IF(VLOOKUP($A44,'Pre-Assessment Estimator'!$A$10:$Z$224,I$2,FALSE)=0,"",VLOOKUP($A44,'Pre-Assessment Estimator'!$A$10:$Z$224,I$2,FALSE))</f>
        <v/>
      </c>
      <c r="J44" s="584" t="str">
        <f>IF(VLOOKUP($A44,'Pre-Assessment Estimator'!$A$10:$Z$224,J$2,FALSE)=0,"",VLOOKUP($A44,'Pre-Assessment Estimator'!$A$10:$Z$224,J$2,FALSE))</f>
        <v/>
      </c>
      <c r="K44" s="585" t="str">
        <f>IF(VLOOKUP($A44,'Pre-Assessment Estimator'!$A$10:$Z$224,K$2,FALSE)=0,"",VLOOKUP($A44,'Pre-Assessment Estimator'!$A$10:$Z$224,K$2,FALSE))</f>
        <v/>
      </c>
      <c r="L44" s="586"/>
      <c r="M44" s="587" t="str">
        <f>IF(VLOOKUP($A44,'Pre-Assessment Estimator'!$A$10:$Z$224,M$2,FALSE)=0,"",VLOOKUP($A44,'Pre-Assessment Estimator'!$A$10:$Z$224,M$2,FALSE))</f>
        <v/>
      </c>
      <c r="N44" s="582">
        <f>VLOOKUP($A44,'Pre-Assessment Estimator'!$A$10:$Z$224,N$2,FALSE)</f>
        <v>0</v>
      </c>
      <c r="O44" s="581" t="str">
        <f>VLOOKUP($A44,'Pre-Assessment Estimator'!$A$10:$Z$224,O$2,FALSE)</f>
        <v>N/A</v>
      </c>
      <c r="P44" s="584" t="str">
        <f>IF(VLOOKUP($A44,'Pre-Assessment Estimator'!$A$10:$Z$224,P$2,FALSE)=0,"",VLOOKUP($A44,'Pre-Assessment Estimator'!$A$10:$Z$224,P$2,FALSE))</f>
        <v/>
      </c>
      <c r="Q44" s="584" t="str">
        <f>IF(VLOOKUP($A44,'Pre-Assessment Estimator'!$A$10:$Z$224,Q$2,FALSE)=0,"",VLOOKUP($A44,'Pre-Assessment Estimator'!$A$10:$Z$224,Q$2,FALSE))</f>
        <v/>
      </c>
      <c r="R44" s="585" t="str">
        <f>IF(VLOOKUP($A44,'Pre-Assessment Estimator'!$A$10:$Z$224,R$2,FALSE)=0,"",VLOOKUP($A44,'Pre-Assessment Estimator'!$A$10:$Z$224,R$2,FALSE))</f>
        <v/>
      </c>
      <c r="S44" s="588"/>
      <c r="T44" s="587" t="str">
        <f>IF(VLOOKUP($A44,'Pre-Assessment Estimator'!$A$10:$Z$224,T$2,FALSE)=0,"",VLOOKUP($A44,'Pre-Assessment Estimator'!$A$10:$Z$224,T$2,FALSE))</f>
        <v/>
      </c>
      <c r="U44" s="582">
        <f>VLOOKUP($A44,'Pre-Assessment Estimator'!$A$10:$Z$224,U$2,FALSE)</f>
        <v>0</v>
      </c>
      <c r="V44" s="581" t="str">
        <f>VLOOKUP($A44,'Pre-Assessment Estimator'!$A$10:$Z$224,V$2,FALSE)</f>
        <v>N/A</v>
      </c>
      <c r="W44" s="584" t="str">
        <f>IF(VLOOKUP($A44,'Pre-Assessment Estimator'!$A$10:$Z$224,W$2,FALSE)=0,"",VLOOKUP($A44,'Pre-Assessment Estimator'!$A$10:$Z$224,W$2,FALSE))</f>
        <v/>
      </c>
      <c r="X44" s="584" t="str">
        <f>IF(VLOOKUP($A44,'Pre-Assessment Estimator'!$A$10:$Z$224,X$2,FALSE)=0,"",VLOOKUP($A44,'Pre-Assessment Estimator'!$A$10:$Z$224,X$2,FALSE))</f>
        <v/>
      </c>
      <c r="Y44" s="370" t="str">
        <f>IF(VLOOKUP($A44,'Pre-Assessment Estimator'!$A$10:$Z$224,Y$2,FALSE)=0,"",VLOOKUP($A44,'Pre-Assessment Estimator'!$A$10:$Z$224,Y$2,FALSE))</f>
        <v/>
      </c>
      <c r="Z44" s="705"/>
      <c r="AA44" s="584"/>
      <c r="AE44" s="386">
        <f t="shared" si="0"/>
        <v>1</v>
      </c>
      <c r="AF44" s="95" t="e">
        <f>VLOOKUP(J44,'Assessment Details'!$O$45:$P$48,2,FALSE)</f>
        <v>#N/A</v>
      </c>
      <c r="AG44" s="95" t="e">
        <f>VLOOKUP(Q44,'Assessment Details'!$O$45:$P$48,2,FALSE)</f>
        <v>#N/A</v>
      </c>
      <c r="AH44" s="95" t="e">
        <f>VLOOKUP(X44,'Assessment Details'!$O$45:$P$48,2,FALSE)</f>
        <v>#N/A</v>
      </c>
      <c r="AP44" s="386"/>
      <c r="AQ44" s="386"/>
      <c r="AR44" s="386"/>
    </row>
    <row r="45" spans="1:44" x14ac:dyDescent="0.25">
      <c r="A45" s="836">
        <v>36</v>
      </c>
      <c r="B45" s="1262"/>
      <c r="C45" s="1262"/>
      <c r="D45" s="993" t="str">
        <f>VLOOKUP($A45,'Pre-Assessment Estimator'!$A$10:$Z$224,D$2,FALSE)</f>
        <v>Hea 02 Indoor air quality</v>
      </c>
      <c r="E45" s="581">
        <f>VLOOKUP($A45,'Pre-Assessment Estimator'!$A$10:$Z$224,E$2,FALSE)</f>
        <v>4</v>
      </c>
      <c r="F45" s="587" t="str">
        <f>IF(VLOOKUP($A45,'Pre-Assessment Estimator'!$A$10:$Z$224,F$2,FALSE)=0,"",VLOOKUP($A45,'Pre-Assessment Estimator'!$A$10:$Z$224,F$2,FALSE))</f>
        <v/>
      </c>
      <c r="G45" s="1239" t="str">
        <f>VLOOKUP($A45,'Pre-Assessment Estimator'!$A$10:$Z$224,G$2,FALSE)</f>
        <v>0 c. 0 %</v>
      </c>
      <c r="H45" s="583" t="str">
        <f>VLOOKUP($A45,'Pre-Assessment Estimator'!$A$10:$Z$224,H$2,FALSE)</f>
        <v>N/A</v>
      </c>
      <c r="I45" s="584" t="str">
        <f>IF(VLOOKUP($A45,'Pre-Assessment Estimator'!$A$10:$Z$224,I$2,FALSE)=0,"",VLOOKUP($A45,'Pre-Assessment Estimator'!$A$10:$Z$224,I$2,FALSE))</f>
        <v/>
      </c>
      <c r="J45" s="584" t="str">
        <f>IF(VLOOKUP($A45,'Pre-Assessment Estimator'!$A$10:$Z$224,J$2,FALSE)=0,"",VLOOKUP($A45,'Pre-Assessment Estimator'!$A$10:$Z$224,J$2,FALSE))</f>
        <v/>
      </c>
      <c r="K45" s="585" t="str">
        <f>IF(VLOOKUP($A45,'Pre-Assessment Estimator'!$A$10:$Z$224,K$2,FALSE)=0,"",VLOOKUP($A45,'Pre-Assessment Estimator'!$A$10:$Z$224,K$2,FALSE))</f>
        <v/>
      </c>
      <c r="L45" s="586"/>
      <c r="M45" s="587" t="str">
        <f>IF(VLOOKUP($A45,'Pre-Assessment Estimator'!$A$10:$Z$224,M$2,FALSE)=0,"",VLOOKUP($A45,'Pre-Assessment Estimator'!$A$10:$Z$224,M$2,FALSE))</f>
        <v/>
      </c>
      <c r="N45" s="582" t="str">
        <f>VLOOKUP($A45,'Pre-Assessment Estimator'!$A$10:$Z$224,N$2,FALSE)</f>
        <v>0 c. 0 %</v>
      </c>
      <c r="O45" s="581" t="str">
        <f>VLOOKUP($A45,'Pre-Assessment Estimator'!$A$10:$Z$224,O$2,FALSE)</f>
        <v>N/A</v>
      </c>
      <c r="P45" s="584" t="str">
        <f>IF(VLOOKUP($A45,'Pre-Assessment Estimator'!$A$10:$Z$224,P$2,FALSE)=0,"",VLOOKUP($A45,'Pre-Assessment Estimator'!$A$10:$Z$224,P$2,FALSE))</f>
        <v/>
      </c>
      <c r="Q45" s="584" t="str">
        <f>IF(VLOOKUP($A45,'Pre-Assessment Estimator'!$A$10:$Z$224,Q$2,FALSE)=0,"",VLOOKUP($A45,'Pre-Assessment Estimator'!$A$10:$Z$224,Q$2,FALSE))</f>
        <v/>
      </c>
      <c r="R45" s="585" t="str">
        <f>IF(VLOOKUP($A45,'Pre-Assessment Estimator'!$A$10:$Z$224,R$2,FALSE)=0,"",VLOOKUP($A45,'Pre-Assessment Estimator'!$A$10:$Z$224,R$2,FALSE))</f>
        <v/>
      </c>
      <c r="S45" s="588"/>
      <c r="T45" s="587" t="str">
        <f>IF(VLOOKUP($A45,'Pre-Assessment Estimator'!$A$10:$Z$224,T$2,FALSE)=0,"",VLOOKUP($A45,'Pre-Assessment Estimator'!$A$10:$Z$224,T$2,FALSE))</f>
        <v/>
      </c>
      <c r="U45" s="582" t="str">
        <f>VLOOKUP($A45,'Pre-Assessment Estimator'!$A$10:$Z$224,U$2,FALSE)</f>
        <v>0 c. 0 %</v>
      </c>
      <c r="V45" s="581" t="str">
        <f>VLOOKUP($A45,'Pre-Assessment Estimator'!$A$10:$Z$224,V$2,FALSE)</f>
        <v>N/A</v>
      </c>
      <c r="W45" s="584" t="str">
        <f>IF(VLOOKUP($A45,'Pre-Assessment Estimator'!$A$10:$Z$224,W$2,FALSE)=0,"",VLOOKUP($A45,'Pre-Assessment Estimator'!$A$10:$Z$224,W$2,FALSE))</f>
        <v/>
      </c>
      <c r="X45" s="584" t="str">
        <f>IF(VLOOKUP($A45,'Pre-Assessment Estimator'!$A$10:$Z$224,X$2,FALSE)=0,"",VLOOKUP($A45,'Pre-Assessment Estimator'!$A$10:$Z$224,X$2,FALSE))</f>
        <v/>
      </c>
      <c r="Y45" s="370" t="str">
        <f>IF(VLOOKUP($A45,'Pre-Assessment Estimator'!$A$10:$Z$224,Y$2,FALSE)=0,"",VLOOKUP($A45,'Pre-Assessment Estimator'!$A$10:$Z$224,Y$2,FALSE))</f>
        <v/>
      </c>
      <c r="Z45" s="705"/>
      <c r="AA45" s="584"/>
      <c r="AE45" s="386">
        <f t="shared" si="0"/>
        <v>1</v>
      </c>
      <c r="AF45" s="95" t="e">
        <f>VLOOKUP(J45,'Assessment Details'!$O$45:$P$48,2,FALSE)</f>
        <v>#N/A</v>
      </c>
      <c r="AG45" s="95" t="e">
        <f>VLOOKUP(Q45,'Assessment Details'!$O$45:$P$48,2,FALSE)</f>
        <v>#N/A</v>
      </c>
      <c r="AH45" s="95" t="e">
        <f>VLOOKUP(X45,'Assessment Details'!$O$45:$P$48,2,FALSE)</f>
        <v>#N/A</v>
      </c>
      <c r="AP45" s="386"/>
      <c r="AQ45" s="386"/>
      <c r="AR45" s="386"/>
    </row>
    <row r="46" spans="1:44" x14ac:dyDescent="0.25">
      <c r="A46" s="836">
        <v>37</v>
      </c>
      <c r="B46" s="1262"/>
      <c r="C46" s="1262"/>
      <c r="D46" s="340" t="str">
        <f>VLOOKUP($A46,'Pre-Assessment Estimator'!$A$10:$Z$224,D$2,FALSE)</f>
        <v xml:space="preserve">Pre-requisite: indoor air quality </v>
      </c>
      <c r="E46" s="581" t="str">
        <f>VLOOKUP($A46,'Pre-Assessment Estimator'!$A$10:$Z$224,E$2,FALSE)</f>
        <v>Yes/No</v>
      </c>
      <c r="F46" s="587" t="str">
        <f>IF(VLOOKUP($A46,'Pre-Assessment Estimator'!$A$10:$Z$224,F$2,FALSE)=0,"",VLOOKUP($A46,'Pre-Assessment Estimator'!$A$10:$Z$224,F$2,FALSE))</f>
        <v/>
      </c>
      <c r="G46" s="1239" t="str">
        <f>VLOOKUP($A46,'Pre-Assessment Estimator'!$A$10:$Z$224,G$2,FALSE)</f>
        <v>-</v>
      </c>
      <c r="H46" s="583" t="str">
        <f>VLOOKUP($A46,'Pre-Assessment Estimator'!$A$10:$Z$224,H$2,FALSE)</f>
        <v>Unclassified</v>
      </c>
      <c r="I46" s="584" t="str">
        <f>IF(VLOOKUP($A46,'Pre-Assessment Estimator'!$A$10:$Z$224,I$2,FALSE)=0,"",VLOOKUP($A46,'Pre-Assessment Estimator'!$A$10:$Z$224,I$2,FALSE))</f>
        <v/>
      </c>
      <c r="J46" s="584" t="str">
        <f>IF(VLOOKUP($A46,'Pre-Assessment Estimator'!$A$10:$Z$224,J$2,FALSE)=0,"",VLOOKUP($A46,'Pre-Assessment Estimator'!$A$10:$Z$224,J$2,FALSE))</f>
        <v/>
      </c>
      <c r="K46" s="585" t="str">
        <f>IF(VLOOKUP($A46,'Pre-Assessment Estimator'!$A$10:$Z$224,K$2,FALSE)=0,"",VLOOKUP($A46,'Pre-Assessment Estimator'!$A$10:$Z$224,K$2,FALSE))</f>
        <v/>
      </c>
      <c r="L46" s="586"/>
      <c r="M46" s="587" t="str">
        <f>IF(VLOOKUP($A46,'Pre-Assessment Estimator'!$A$10:$Z$224,M$2,FALSE)=0,"",VLOOKUP($A46,'Pre-Assessment Estimator'!$A$10:$Z$224,M$2,FALSE))</f>
        <v/>
      </c>
      <c r="N46" s="582" t="str">
        <f>VLOOKUP($A46,'Pre-Assessment Estimator'!$A$10:$Z$224,N$2,FALSE)</f>
        <v>-</v>
      </c>
      <c r="O46" s="581" t="str">
        <f>VLOOKUP($A46,'Pre-Assessment Estimator'!$A$10:$Z$224,O$2,FALSE)</f>
        <v>Unclassified</v>
      </c>
      <c r="P46" s="584" t="str">
        <f>IF(VLOOKUP($A46,'Pre-Assessment Estimator'!$A$10:$Z$224,P$2,FALSE)=0,"",VLOOKUP($A46,'Pre-Assessment Estimator'!$A$10:$Z$224,P$2,FALSE))</f>
        <v/>
      </c>
      <c r="Q46" s="584" t="str">
        <f>IF(VLOOKUP($A46,'Pre-Assessment Estimator'!$A$10:$Z$224,Q$2,FALSE)=0,"",VLOOKUP($A46,'Pre-Assessment Estimator'!$A$10:$Z$224,Q$2,FALSE))</f>
        <v/>
      </c>
      <c r="R46" s="585" t="str">
        <f>IF(VLOOKUP($A46,'Pre-Assessment Estimator'!$A$10:$Z$224,R$2,FALSE)=0,"",VLOOKUP($A46,'Pre-Assessment Estimator'!$A$10:$Z$224,R$2,FALSE))</f>
        <v/>
      </c>
      <c r="S46" s="588"/>
      <c r="T46" s="587" t="str">
        <f>IF(VLOOKUP($A46,'Pre-Assessment Estimator'!$A$10:$Z$224,T$2,FALSE)=0,"",VLOOKUP($A46,'Pre-Assessment Estimator'!$A$10:$Z$224,T$2,FALSE))</f>
        <v/>
      </c>
      <c r="U46" s="582" t="str">
        <f>VLOOKUP($A46,'Pre-Assessment Estimator'!$A$10:$Z$224,U$2,FALSE)</f>
        <v>-</v>
      </c>
      <c r="V46" s="581" t="str">
        <f>VLOOKUP($A46,'Pre-Assessment Estimator'!$A$10:$Z$224,V$2,FALSE)</f>
        <v>Unclassified</v>
      </c>
      <c r="W46" s="584" t="str">
        <f>IF(VLOOKUP($A46,'Pre-Assessment Estimator'!$A$10:$Z$224,W$2,FALSE)=0,"",VLOOKUP($A46,'Pre-Assessment Estimator'!$A$10:$Z$224,W$2,FALSE))</f>
        <v/>
      </c>
      <c r="X46" s="584" t="str">
        <f>IF(VLOOKUP($A46,'Pre-Assessment Estimator'!$A$10:$Z$224,X$2,FALSE)=0,"",VLOOKUP($A46,'Pre-Assessment Estimator'!$A$10:$Z$224,X$2,FALSE))</f>
        <v/>
      </c>
      <c r="Y46" s="370" t="str">
        <f>IF(VLOOKUP($A46,'Pre-Assessment Estimator'!$A$10:$Z$224,Y$2,FALSE)=0,"",VLOOKUP($A46,'Pre-Assessment Estimator'!$A$10:$Z$224,Y$2,FALSE))</f>
        <v/>
      </c>
      <c r="Z46" s="705"/>
      <c r="AA46" s="584"/>
      <c r="AE46" s="386">
        <f t="shared" si="0"/>
        <v>1</v>
      </c>
      <c r="AF46" s="95" t="e">
        <f>VLOOKUP(J46,'Assessment Details'!$O$45:$P$48,2,FALSE)</f>
        <v>#N/A</v>
      </c>
      <c r="AG46" s="95" t="e">
        <f>VLOOKUP(Q46,'Assessment Details'!$O$45:$P$48,2,FALSE)</f>
        <v>#N/A</v>
      </c>
      <c r="AH46" s="95" t="e">
        <f>VLOOKUP(X46,'Assessment Details'!$O$45:$P$48,2,FALSE)</f>
        <v>#N/A</v>
      </c>
      <c r="AP46" s="386"/>
      <c r="AQ46" s="386"/>
      <c r="AR46" s="386"/>
    </row>
    <row r="47" spans="1:44" x14ac:dyDescent="0.25">
      <c r="A47" s="836">
        <v>38</v>
      </c>
      <c r="B47" s="1262"/>
      <c r="C47" s="1262"/>
      <c r="D47" s="340" t="str">
        <f>VLOOKUP($A47,'Pre-Assessment Estimator'!$A$10:$Z$224,D$2,FALSE)</f>
        <v>Ventilation</v>
      </c>
      <c r="E47" s="581">
        <f>VLOOKUP($A47,'Pre-Assessment Estimator'!$A$10:$Z$224,E$2,FALSE)</f>
        <v>1</v>
      </c>
      <c r="F47" s="587" t="str">
        <f>IF(VLOOKUP($A47,'Pre-Assessment Estimator'!$A$10:$Z$224,F$2,FALSE)=0,"",VLOOKUP($A47,'Pre-Assessment Estimator'!$A$10:$Z$224,F$2,FALSE))</f>
        <v/>
      </c>
      <c r="G47" s="1239">
        <f>VLOOKUP($A47,'Pre-Assessment Estimator'!$A$10:$Z$224,G$2,FALSE)</f>
        <v>0</v>
      </c>
      <c r="H47" s="583" t="str">
        <f>VLOOKUP($A47,'Pre-Assessment Estimator'!$A$10:$Z$224,H$2,FALSE)</f>
        <v>N/A</v>
      </c>
      <c r="I47" s="584" t="str">
        <f>IF(VLOOKUP($A47,'Pre-Assessment Estimator'!$A$10:$Z$224,I$2,FALSE)=0,"",VLOOKUP($A47,'Pre-Assessment Estimator'!$A$10:$Z$224,I$2,FALSE))</f>
        <v/>
      </c>
      <c r="J47" s="584" t="str">
        <f>IF(VLOOKUP($A47,'Pre-Assessment Estimator'!$A$10:$Z$224,J$2,FALSE)=0,"",VLOOKUP($A47,'Pre-Assessment Estimator'!$A$10:$Z$224,J$2,FALSE))</f>
        <v/>
      </c>
      <c r="K47" s="585" t="str">
        <f>IF(VLOOKUP($A47,'Pre-Assessment Estimator'!$A$10:$Z$224,K$2,FALSE)=0,"",VLOOKUP($A47,'Pre-Assessment Estimator'!$A$10:$Z$224,K$2,FALSE))</f>
        <v/>
      </c>
      <c r="L47" s="586"/>
      <c r="M47" s="587" t="str">
        <f>IF(VLOOKUP($A47,'Pre-Assessment Estimator'!$A$10:$Z$224,M$2,FALSE)=0,"",VLOOKUP($A47,'Pre-Assessment Estimator'!$A$10:$Z$224,M$2,FALSE))</f>
        <v/>
      </c>
      <c r="N47" s="582">
        <f>VLOOKUP($A47,'Pre-Assessment Estimator'!$A$10:$Z$224,N$2,FALSE)</f>
        <v>0</v>
      </c>
      <c r="O47" s="581" t="str">
        <f>VLOOKUP($A47,'Pre-Assessment Estimator'!$A$10:$Z$224,O$2,FALSE)</f>
        <v>N/A</v>
      </c>
      <c r="P47" s="584" t="str">
        <f>IF(VLOOKUP($A47,'Pre-Assessment Estimator'!$A$10:$Z$224,P$2,FALSE)=0,"",VLOOKUP($A47,'Pre-Assessment Estimator'!$A$10:$Z$224,P$2,FALSE))</f>
        <v/>
      </c>
      <c r="Q47" s="584" t="str">
        <f>IF(VLOOKUP($A47,'Pre-Assessment Estimator'!$A$10:$Z$224,Q$2,FALSE)=0,"",VLOOKUP($A47,'Pre-Assessment Estimator'!$A$10:$Z$224,Q$2,FALSE))</f>
        <v/>
      </c>
      <c r="R47" s="585" t="str">
        <f>IF(VLOOKUP($A47,'Pre-Assessment Estimator'!$A$10:$Z$224,R$2,FALSE)=0,"",VLOOKUP($A47,'Pre-Assessment Estimator'!$A$10:$Z$224,R$2,FALSE))</f>
        <v/>
      </c>
      <c r="S47" s="588"/>
      <c r="T47" s="587" t="str">
        <f>IF(VLOOKUP($A47,'Pre-Assessment Estimator'!$A$10:$Z$224,T$2,FALSE)=0,"",VLOOKUP($A47,'Pre-Assessment Estimator'!$A$10:$Z$224,T$2,FALSE))</f>
        <v/>
      </c>
      <c r="U47" s="582">
        <f>VLOOKUP($A47,'Pre-Assessment Estimator'!$A$10:$Z$224,U$2,FALSE)</f>
        <v>0</v>
      </c>
      <c r="V47" s="581" t="str">
        <f>VLOOKUP($A47,'Pre-Assessment Estimator'!$A$10:$Z$224,V$2,FALSE)</f>
        <v>N/A</v>
      </c>
      <c r="W47" s="584" t="str">
        <f>IF(VLOOKUP($A47,'Pre-Assessment Estimator'!$A$10:$Z$224,W$2,FALSE)=0,"",VLOOKUP($A47,'Pre-Assessment Estimator'!$A$10:$Z$224,W$2,FALSE))</f>
        <v/>
      </c>
      <c r="X47" s="584" t="str">
        <f>IF(VLOOKUP($A47,'Pre-Assessment Estimator'!$A$10:$Z$224,X$2,FALSE)=0,"",VLOOKUP($A47,'Pre-Assessment Estimator'!$A$10:$Z$224,X$2,FALSE))</f>
        <v/>
      </c>
      <c r="Y47" s="370" t="str">
        <f>IF(VLOOKUP($A47,'Pre-Assessment Estimator'!$A$10:$Z$224,Y$2,FALSE)=0,"",VLOOKUP($A47,'Pre-Assessment Estimator'!$A$10:$Z$224,Y$2,FALSE))</f>
        <v/>
      </c>
      <c r="Z47" s="705"/>
      <c r="AA47" s="584"/>
      <c r="AE47" s="386">
        <f t="shared" si="0"/>
        <v>1</v>
      </c>
      <c r="AF47" s="95" t="e">
        <f>VLOOKUP(J47,'Assessment Details'!$O$45:$P$48,2,FALSE)</f>
        <v>#N/A</v>
      </c>
      <c r="AG47" s="95" t="e">
        <f>VLOOKUP(Q47,'Assessment Details'!$O$45:$P$48,2,FALSE)</f>
        <v>#N/A</v>
      </c>
      <c r="AH47" s="95" t="e">
        <f>VLOOKUP(X47,'Assessment Details'!$O$45:$P$48,2,FALSE)</f>
        <v>#N/A</v>
      </c>
      <c r="AP47" s="386"/>
      <c r="AQ47" s="386"/>
      <c r="AR47" s="386"/>
    </row>
    <row r="48" spans="1:44" x14ac:dyDescent="0.25">
      <c r="A48" s="836">
        <v>39</v>
      </c>
      <c r="B48" s="1262"/>
      <c r="C48" s="1262"/>
      <c r="D48" s="340" t="str">
        <f>VLOOKUP($A48,'Pre-Assessment Estimator'!$A$10:$Z$224,D$2,FALSE)</f>
        <v xml:space="preserve">Emissions from construction products </v>
      </c>
      <c r="E48" s="581">
        <f>VLOOKUP($A48,'Pre-Assessment Estimator'!$A$10:$Z$224,E$2,FALSE)</f>
        <v>2</v>
      </c>
      <c r="F48" s="587" t="str">
        <f>IF(VLOOKUP($A48,'Pre-Assessment Estimator'!$A$10:$Z$224,F$2,FALSE)=0,"",VLOOKUP($A48,'Pre-Assessment Estimator'!$A$10:$Z$224,F$2,FALSE))</f>
        <v/>
      </c>
      <c r="G48" s="1239">
        <f>VLOOKUP($A48,'Pre-Assessment Estimator'!$A$10:$Z$224,G$2,FALSE)</f>
        <v>0</v>
      </c>
      <c r="H48" s="583" t="str">
        <f>VLOOKUP($A48,'Pre-Assessment Estimator'!$A$10:$Z$224,H$2,FALSE)</f>
        <v>Very Good</v>
      </c>
      <c r="I48" s="584" t="str">
        <f>IF(VLOOKUP($A48,'Pre-Assessment Estimator'!$A$10:$Z$224,I$2,FALSE)=0,"",VLOOKUP($A48,'Pre-Assessment Estimator'!$A$10:$Z$224,I$2,FALSE))</f>
        <v/>
      </c>
      <c r="J48" s="584" t="str">
        <f>IF(VLOOKUP($A48,'Pre-Assessment Estimator'!$A$10:$Z$224,J$2,FALSE)=0,"",VLOOKUP($A48,'Pre-Assessment Estimator'!$A$10:$Z$224,J$2,FALSE))</f>
        <v/>
      </c>
      <c r="K48" s="585" t="str">
        <f>IF(VLOOKUP($A48,'Pre-Assessment Estimator'!$A$10:$Z$224,K$2,FALSE)=0,"",VLOOKUP($A48,'Pre-Assessment Estimator'!$A$10:$Z$224,K$2,FALSE))</f>
        <v/>
      </c>
      <c r="L48" s="586"/>
      <c r="M48" s="587" t="str">
        <f>IF(VLOOKUP($A48,'Pre-Assessment Estimator'!$A$10:$Z$224,M$2,FALSE)=0,"",VLOOKUP($A48,'Pre-Assessment Estimator'!$A$10:$Z$224,M$2,FALSE))</f>
        <v/>
      </c>
      <c r="N48" s="582">
        <f>VLOOKUP($A48,'Pre-Assessment Estimator'!$A$10:$Z$224,N$2,FALSE)</f>
        <v>0</v>
      </c>
      <c r="O48" s="581" t="str">
        <f>VLOOKUP($A48,'Pre-Assessment Estimator'!$A$10:$Z$224,O$2,FALSE)</f>
        <v>Very Good</v>
      </c>
      <c r="P48" s="584" t="str">
        <f>IF(VLOOKUP($A48,'Pre-Assessment Estimator'!$A$10:$Z$224,P$2,FALSE)=0,"",VLOOKUP($A48,'Pre-Assessment Estimator'!$A$10:$Z$224,P$2,FALSE))</f>
        <v/>
      </c>
      <c r="Q48" s="584" t="str">
        <f>IF(VLOOKUP($A48,'Pre-Assessment Estimator'!$A$10:$Z$224,Q$2,FALSE)=0,"",VLOOKUP($A48,'Pre-Assessment Estimator'!$A$10:$Z$224,Q$2,FALSE))</f>
        <v/>
      </c>
      <c r="R48" s="585" t="str">
        <f>IF(VLOOKUP($A48,'Pre-Assessment Estimator'!$A$10:$Z$224,R$2,FALSE)=0,"",VLOOKUP($A48,'Pre-Assessment Estimator'!$A$10:$Z$224,R$2,FALSE))</f>
        <v/>
      </c>
      <c r="S48" s="588"/>
      <c r="T48" s="587" t="str">
        <f>IF(VLOOKUP($A48,'Pre-Assessment Estimator'!$A$10:$Z$224,T$2,FALSE)=0,"",VLOOKUP($A48,'Pre-Assessment Estimator'!$A$10:$Z$224,T$2,FALSE))</f>
        <v/>
      </c>
      <c r="U48" s="582">
        <f>VLOOKUP($A48,'Pre-Assessment Estimator'!$A$10:$Z$224,U$2,FALSE)</f>
        <v>0</v>
      </c>
      <c r="V48" s="581" t="str">
        <f>VLOOKUP($A48,'Pre-Assessment Estimator'!$A$10:$Z$224,V$2,FALSE)</f>
        <v>Very Good</v>
      </c>
      <c r="W48" s="584" t="str">
        <f>IF(VLOOKUP($A48,'Pre-Assessment Estimator'!$A$10:$Z$224,W$2,FALSE)=0,"",VLOOKUP($A48,'Pre-Assessment Estimator'!$A$10:$Z$224,W$2,FALSE))</f>
        <v/>
      </c>
      <c r="X48" s="584" t="str">
        <f>IF(VLOOKUP($A48,'Pre-Assessment Estimator'!$A$10:$Z$224,X$2,FALSE)=0,"",VLOOKUP($A48,'Pre-Assessment Estimator'!$A$10:$Z$224,X$2,FALSE))</f>
        <v/>
      </c>
      <c r="Y48" s="370" t="str">
        <f>IF(VLOOKUP($A48,'Pre-Assessment Estimator'!$A$10:$Z$224,Y$2,FALSE)=0,"",VLOOKUP($A48,'Pre-Assessment Estimator'!$A$10:$Z$224,Y$2,FALSE))</f>
        <v/>
      </c>
      <c r="Z48" s="705"/>
      <c r="AA48" s="584"/>
      <c r="AE48" s="386">
        <f t="shared" si="0"/>
        <v>1</v>
      </c>
      <c r="AF48" s="95" t="e">
        <f>VLOOKUP(J48,'Assessment Details'!$O$45:$P$48,2,FALSE)</f>
        <v>#N/A</v>
      </c>
      <c r="AG48" s="95" t="e">
        <f>VLOOKUP(Q48,'Assessment Details'!$O$45:$P$48,2,FALSE)</f>
        <v>#N/A</v>
      </c>
      <c r="AH48" s="95" t="e">
        <f>VLOOKUP(X48,'Assessment Details'!$O$45:$P$48,2,FALSE)</f>
        <v>#N/A</v>
      </c>
      <c r="AP48" s="386"/>
      <c r="AQ48" s="386"/>
      <c r="AR48" s="386"/>
    </row>
    <row r="49" spans="1:44" x14ac:dyDescent="0.25">
      <c r="A49" s="836">
        <v>40</v>
      </c>
      <c r="B49" s="1262"/>
      <c r="C49" s="1262"/>
      <c r="D49" s="340" t="str">
        <f>VLOOKUP($A49,'Pre-Assessment Estimator'!$A$10:$Z$224,D$2,FALSE)</f>
        <v xml:space="preserve">Post-construction indoor air quality measurement </v>
      </c>
      <c r="E49" s="581">
        <f>VLOOKUP($A49,'Pre-Assessment Estimator'!$A$10:$Z$224,E$2,FALSE)</f>
        <v>1</v>
      </c>
      <c r="F49" s="587" t="str">
        <f>IF(VLOOKUP($A49,'Pre-Assessment Estimator'!$A$10:$Z$224,F$2,FALSE)=0,"",VLOOKUP($A49,'Pre-Assessment Estimator'!$A$10:$Z$224,F$2,FALSE))</f>
        <v/>
      </c>
      <c r="G49" s="1239">
        <f>VLOOKUP($A49,'Pre-Assessment Estimator'!$A$10:$Z$224,G$2,FALSE)</f>
        <v>0</v>
      </c>
      <c r="H49" s="583" t="str">
        <f>VLOOKUP($A49,'Pre-Assessment Estimator'!$A$10:$Z$224,H$2,FALSE)</f>
        <v>N/A</v>
      </c>
      <c r="I49" s="584" t="str">
        <f>IF(VLOOKUP($A49,'Pre-Assessment Estimator'!$A$10:$Z$224,I$2,FALSE)=0,"",VLOOKUP($A49,'Pre-Assessment Estimator'!$A$10:$Z$224,I$2,FALSE))</f>
        <v/>
      </c>
      <c r="J49" s="584" t="str">
        <f>IF(VLOOKUP($A49,'Pre-Assessment Estimator'!$A$10:$Z$224,J$2,FALSE)=0,"",VLOOKUP($A49,'Pre-Assessment Estimator'!$A$10:$Z$224,J$2,FALSE))</f>
        <v/>
      </c>
      <c r="K49" s="585" t="str">
        <f>IF(VLOOKUP($A49,'Pre-Assessment Estimator'!$A$10:$Z$224,K$2,FALSE)=0,"",VLOOKUP($A49,'Pre-Assessment Estimator'!$A$10:$Z$224,K$2,FALSE))</f>
        <v/>
      </c>
      <c r="L49" s="586"/>
      <c r="M49" s="587" t="str">
        <f>IF(VLOOKUP($A49,'Pre-Assessment Estimator'!$A$10:$Z$224,M$2,FALSE)=0,"",VLOOKUP($A49,'Pre-Assessment Estimator'!$A$10:$Z$224,M$2,FALSE))</f>
        <v/>
      </c>
      <c r="N49" s="582">
        <f>VLOOKUP($A49,'Pre-Assessment Estimator'!$A$10:$Z$224,N$2,FALSE)</f>
        <v>0</v>
      </c>
      <c r="O49" s="581" t="str">
        <f>VLOOKUP($A49,'Pre-Assessment Estimator'!$A$10:$Z$224,O$2,FALSE)</f>
        <v>N/A</v>
      </c>
      <c r="P49" s="584" t="str">
        <f>IF(VLOOKUP($A49,'Pre-Assessment Estimator'!$A$10:$Z$224,P$2,FALSE)=0,"",VLOOKUP($A49,'Pre-Assessment Estimator'!$A$10:$Z$224,P$2,FALSE))</f>
        <v/>
      </c>
      <c r="Q49" s="584" t="str">
        <f>IF(VLOOKUP($A49,'Pre-Assessment Estimator'!$A$10:$Z$224,Q$2,FALSE)=0,"",VLOOKUP($A49,'Pre-Assessment Estimator'!$A$10:$Z$224,Q$2,FALSE))</f>
        <v/>
      </c>
      <c r="R49" s="585" t="str">
        <f>IF(VLOOKUP($A49,'Pre-Assessment Estimator'!$A$10:$Z$224,R$2,FALSE)=0,"",VLOOKUP($A49,'Pre-Assessment Estimator'!$A$10:$Z$224,R$2,FALSE))</f>
        <v/>
      </c>
      <c r="S49" s="588"/>
      <c r="T49" s="587" t="str">
        <f>IF(VLOOKUP($A49,'Pre-Assessment Estimator'!$A$10:$Z$224,T$2,FALSE)=0,"",VLOOKUP($A49,'Pre-Assessment Estimator'!$A$10:$Z$224,T$2,FALSE))</f>
        <v/>
      </c>
      <c r="U49" s="582">
        <f>VLOOKUP($A49,'Pre-Assessment Estimator'!$A$10:$Z$224,U$2,FALSE)</f>
        <v>0</v>
      </c>
      <c r="V49" s="581" t="str">
        <f>VLOOKUP($A49,'Pre-Assessment Estimator'!$A$10:$Z$224,V$2,FALSE)</f>
        <v>N/A</v>
      </c>
      <c r="W49" s="584" t="str">
        <f>IF(VLOOKUP($A49,'Pre-Assessment Estimator'!$A$10:$Z$224,W$2,FALSE)=0,"",VLOOKUP($A49,'Pre-Assessment Estimator'!$A$10:$Z$224,W$2,FALSE))</f>
        <v/>
      </c>
      <c r="X49" s="584" t="str">
        <f>IF(VLOOKUP($A49,'Pre-Assessment Estimator'!$A$10:$Z$224,X$2,FALSE)=0,"",VLOOKUP($A49,'Pre-Assessment Estimator'!$A$10:$Z$224,X$2,FALSE))</f>
        <v/>
      </c>
      <c r="Y49" s="370" t="str">
        <f>IF(VLOOKUP($A49,'Pre-Assessment Estimator'!$A$10:$Z$224,Y$2,FALSE)=0,"",VLOOKUP($A49,'Pre-Assessment Estimator'!$A$10:$Z$224,Y$2,FALSE))</f>
        <v/>
      </c>
      <c r="Z49" s="705"/>
      <c r="AA49" s="584"/>
      <c r="AE49" s="386">
        <f t="shared" si="0"/>
        <v>1</v>
      </c>
      <c r="AF49" s="95" t="e">
        <f>VLOOKUP(J49,'Assessment Details'!$O$45:$P$48,2,FALSE)</f>
        <v>#N/A</v>
      </c>
      <c r="AG49" s="95" t="e">
        <f>VLOOKUP(Q49,'Assessment Details'!$O$45:$P$48,2,FALSE)</f>
        <v>#N/A</v>
      </c>
      <c r="AH49" s="95" t="e">
        <f>VLOOKUP(X49,'Assessment Details'!$O$45:$P$48,2,FALSE)</f>
        <v>#N/A</v>
      </c>
      <c r="AP49" s="386"/>
      <c r="AQ49" s="386"/>
      <c r="AR49" s="386"/>
    </row>
    <row r="50" spans="1:44" x14ac:dyDescent="0.25">
      <c r="A50" s="836">
        <v>41</v>
      </c>
      <c r="B50" s="1262"/>
      <c r="C50" s="1262"/>
      <c r="D50" s="993" t="str">
        <f>VLOOKUP($A50,'Pre-Assessment Estimator'!$A$10:$Z$224,D$2,FALSE)</f>
        <v>Hea 03 Thermal comfort</v>
      </c>
      <c r="E50" s="581">
        <f>VLOOKUP($A50,'Pre-Assessment Estimator'!$A$10:$Z$224,E$2,FALSE)</f>
        <v>3</v>
      </c>
      <c r="F50" s="587" t="str">
        <f>IF(VLOOKUP($A50,'Pre-Assessment Estimator'!$A$10:$Z$224,F$2,FALSE)=0,"",VLOOKUP($A50,'Pre-Assessment Estimator'!$A$10:$Z$224,F$2,FALSE))</f>
        <v/>
      </c>
      <c r="G50" s="1239" t="str">
        <f>VLOOKUP($A50,'Pre-Assessment Estimator'!$A$10:$Z$224,G$2,FALSE)</f>
        <v>0 c. 0 %</v>
      </c>
      <c r="H50" s="583" t="str">
        <f>VLOOKUP($A50,'Pre-Assessment Estimator'!$A$10:$Z$224,H$2,FALSE)</f>
        <v>N/A</v>
      </c>
      <c r="I50" s="584" t="str">
        <f>IF(VLOOKUP($A50,'Pre-Assessment Estimator'!$A$10:$Z$224,I$2,FALSE)=0,"",VLOOKUP($A50,'Pre-Assessment Estimator'!$A$10:$Z$224,I$2,FALSE))</f>
        <v/>
      </c>
      <c r="J50" s="584" t="str">
        <f>IF(VLOOKUP($A50,'Pre-Assessment Estimator'!$A$10:$Z$224,J$2,FALSE)=0,"",VLOOKUP($A50,'Pre-Assessment Estimator'!$A$10:$Z$224,J$2,FALSE))</f>
        <v/>
      </c>
      <c r="K50" s="585" t="str">
        <f>IF(VLOOKUP($A50,'Pre-Assessment Estimator'!$A$10:$Z$224,K$2,FALSE)=0,"",VLOOKUP($A50,'Pre-Assessment Estimator'!$A$10:$Z$224,K$2,FALSE))</f>
        <v/>
      </c>
      <c r="L50" s="586"/>
      <c r="M50" s="587" t="str">
        <f>IF(VLOOKUP($A50,'Pre-Assessment Estimator'!$A$10:$Z$224,M$2,FALSE)=0,"",VLOOKUP($A50,'Pre-Assessment Estimator'!$A$10:$Z$224,M$2,FALSE))</f>
        <v/>
      </c>
      <c r="N50" s="582" t="str">
        <f>VLOOKUP($A50,'Pre-Assessment Estimator'!$A$10:$Z$224,N$2,FALSE)</f>
        <v>0 c. 0 %</v>
      </c>
      <c r="O50" s="581" t="str">
        <f>VLOOKUP($A50,'Pre-Assessment Estimator'!$A$10:$Z$224,O$2,FALSE)</f>
        <v>N/A</v>
      </c>
      <c r="P50" s="584" t="str">
        <f>IF(VLOOKUP($A50,'Pre-Assessment Estimator'!$A$10:$Z$224,P$2,FALSE)=0,"",VLOOKUP($A50,'Pre-Assessment Estimator'!$A$10:$Z$224,P$2,FALSE))</f>
        <v/>
      </c>
      <c r="Q50" s="584" t="str">
        <f>IF(VLOOKUP($A50,'Pre-Assessment Estimator'!$A$10:$Z$224,Q$2,FALSE)=0,"",VLOOKUP($A50,'Pre-Assessment Estimator'!$A$10:$Z$224,Q$2,FALSE))</f>
        <v/>
      </c>
      <c r="R50" s="585" t="str">
        <f>IF(VLOOKUP($A50,'Pre-Assessment Estimator'!$A$10:$Z$224,R$2,FALSE)=0,"",VLOOKUP($A50,'Pre-Assessment Estimator'!$A$10:$Z$224,R$2,FALSE))</f>
        <v/>
      </c>
      <c r="S50" s="588"/>
      <c r="T50" s="587" t="str">
        <f>IF(VLOOKUP($A50,'Pre-Assessment Estimator'!$A$10:$Z$224,T$2,FALSE)=0,"",VLOOKUP($A50,'Pre-Assessment Estimator'!$A$10:$Z$224,T$2,FALSE))</f>
        <v/>
      </c>
      <c r="U50" s="582" t="str">
        <f>VLOOKUP($A50,'Pre-Assessment Estimator'!$A$10:$Z$224,U$2,FALSE)</f>
        <v>0 c. 0 %</v>
      </c>
      <c r="V50" s="581" t="str">
        <f>VLOOKUP($A50,'Pre-Assessment Estimator'!$A$10:$Z$224,V$2,FALSE)</f>
        <v>N/A</v>
      </c>
      <c r="W50" s="584" t="str">
        <f>IF(VLOOKUP($A50,'Pre-Assessment Estimator'!$A$10:$Z$224,W$2,FALSE)=0,"",VLOOKUP($A50,'Pre-Assessment Estimator'!$A$10:$Z$224,W$2,FALSE))</f>
        <v/>
      </c>
      <c r="X50" s="584" t="str">
        <f>IF(VLOOKUP($A50,'Pre-Assessment Estimator'!$A$10:$Z$224,X$2,FALSE)=0,"",VLOOKUP($A50,'Pre-Assessment Estimator'!$A$10:$Z$224,X$2,FALSE))</f>
        <v/>
      </c>
      <c r="Y50" s="370" t="str">
        <f>IF(VLOOKUP($A50,'Pre-Assessment Estimator'!$A$10:$Z$224,Y$2,FALSE)=0,"",VLOOKUP($A50,'Pre-Assessment Estimator'!$A$10:$Z$224,Y$2,FALSE))</f>
        <v/>
      </c>
      <c r="Z50" s="705"/>
      <c r="AA50" s="584"/>
      <c r="AE50" s="386">
        <f t="shared" si="0"/>
        <v>1</v>
      </c>
      <c r="AF50" s="95" t="e">
        <f>VLOOKUP(J50,'Assessment Details'!$O$45:$P$48,2,FALSE)</f>
        <v>#N/A</v>
      </c>
      <c r="AG50" s="95" t="e">
        <f>VLOOKUP(Q50,'Assessment Details'!$O$45:$P$48,2,FALSE)</f>
        <v>#N/A</v>
      </c>
      <c r="AH50" s="95" t="e">
        <f>VLOOKUP(X50,'Assessment Details'!$O$45:$P$48,2,FALSE)</f>
        <v>#N/A</v>
      </c>
      <c r="AP50" s="386"/>
      <c r="AQ50" s="386"/>
      <c r="AR50" s="386"/>
    </row>
    <row r="51" spans="1:44" x14ac:dyDescent="0.25">
      <c r="A51" s="836">
        <v>42</v>
      </c>
      <c r="B51" s="1262"/>
      <c r="C51" s="1262"/>
      <c r="D51" s="340" t="str">
        <f>VLOOKUP($A51,'Pre-Assessment Estimator'!$A$10:$Z$224,D$2,FALSE)</f>
        <v xml:space="preserve">Thermal modelling </v>
      </c>
      <c r="E51" s="581">
        <f>VLOOKUP($A51,'Pre-Assessment Estimator'!$A$10:$Z$224,E$2,FALSE)</f>
        <v>1</v>
      </c>
      <c r="F51" s="587" t="str">
        <f>IF(VLOOKUP($A51,'Pre-Assessment Estimator'!$A$10:$Z$224,F$2,FALSE)=0,"",VLOOKUP($A51,'Pre-Assessment Estimator'!$A$10:$Z$224,F$2,FALSE))</f>
        <v/>
      </c>
      <c r="G51" s="1239">
        <f>VLOOKUP($A51,'Pre-Assessment Estimator'!$A$10:$Z$224,G$2,FALSE)</f>
        <v>0</v>
      </c>
      <c r="H51" s="583" t="str">
        <f>VLOOKUP($A51,'Pre-Assessment Estimator'!$A$10:$Z$224,H$2,FALSE)</f>
        <v>N/A</v>
      </c>
      <c r="I51" s="584" t="str">
        <f>IF(VLOOKUP($A51,'Pre-Assessment Estimator'!$A$10:$Z$224,I$2,FALSE)=0,"",VLOOKUP($A51,'Pre-Assessment Estimator'!$A$10:$Z$224,I$2,FALSE))</f>
        <v/>
      </c>
      <c r="J51" s="584" t="str">
        <f>IF(VLOOKUP($A51,'Pre-Assessment Estimator'!$A$10:$Z$224,J$2,FALSE)=0,"",VLOOKUP($A51,'Pre-Assessment Estimator'!$A$10:$Z$224,J$2,FALSE))</f>
        <v/>
      </c>
      <c r="K51" s="585" t="str">
        <f>IF(VLOOKUP($A51,'Pre-Assessment Estimator'!$A$10:$Z$224,K$2,FALSE)=0,"",VLOOKUP($A51,'Pre-Assessment Estimator'!$A$10:$Z$224,K$2,FALSE))</f>
        <v/>
      </c>
      <c r="L51" s="586"/>
      <c r="M51" s="587" t="str">
        <f>IF(VLOOKUP($A51,'Pre-Assessment Estimator'!$A$10:$Z$224,M$2,FALSE)=0,"",VLOOKUP($A51,'Pre-Assessment Estimator'!$A$10:$Z$224,M$2,FALSE))</f>
        <v/>
      </c>
      <c r="N51" s="582">
        <f>VLOOKUP($A51,'Pre-Assessment Estimator'!$A$10:$Z$224,N$2,FALSE)</f>
        <v>0</v>
      </c>
      <c r="O51" s="581" t="str">
        <f>VLOOKUP($A51,'Pre-Assessment Estimator'!$A$10:$Z$224,O$2,FALSE)</f>
        <v>N/A</v>
      </c>
      <c r="P51" s="584" t="str">
        <f>IF(VLOOKUP($A51,'Pre-Assessment Estimator'!$A$10:$Z$224,P$2,FALSE)=0,"",VLOOKUP($A51,'Pre-Assessment Estimator'!$A$10:$Z$224,P$2,FALSE))</f>
        <v/>
      </c>
      <c r="Q51" s="584" t="str">
        <f>IF(VLOOKUP($A51,'Pre-Assessment Estimator'!$A$10:$Z$224,Q$2,FALSE)=0,"",VLOOKUP($A51,'Pre-Assessment Estimator'!$A$10:$Z$224,Q$2,FALSE))</f>
        <v/>
      </c>
      <c r="R51" s="585" t="str">
        <f>IF(VLOOKUP($A51,'Pre-Assessment Estimator'!$A$10:$Z$224,R$2,FALSE)=0,"",VLOOKUP($A51,'Pre-Assessment Estimator'!$A$10:$Z$224,R$2,FALSE))</f>
        <v/>
      </c>
      <c r="S51" s="588"/>
      <c r="T51" s="587" t="str">
        <f>IF(VLOOKUP($A51,'Pre-Assessment Estimator'!$A$10:$Z$224,T$2,FALSE)=0,"",VLOOKUP($A51,'Pre-Assessment Estimator'!$A$10:$Z$224,T$2,FALSE))</f>
        <v/>
      </c>
      <c r="U51" s="582">
        <f>VLOOKUP($A51,'Pre-Assessment Estimator'!$A$10:$Z$224,U$2,FALSE)</f>
        <v>0</v>
      </c>
      <c r="V51" s="581" t="str">
        <f>VLOOKUP($A51,'Pre-Assessment Estimator'!$A$10:$Z$224,V$2,FALSE)</f>
        <v>N/A</v>
      </c>
      <c r="W51" s="584" t="str">
        <f>IF(VLOOKUP($A51,'Pre-Assessment Estimator'!$A$10:$Z$224,W$2,FALSE)=0,"",VLOOKUP($A51,'Pre-Assessment Estimator'!$A$10:$Z$224,W$2,FALSE))</f>
        <v/>
      </c>
      <c r="X51" s="584" t="str">
        <f>IF(VLOOKUP($A51,'Pre-Assessment Estimator'!$A$10:$Z$224,X$2,FALSE)=0,"",VLOOKUP($A51,'Pre-Assessment Estimator'!$A$10:$Z$224,X$2,FALSE))</f>
        <v/>
      </c>
      <c r="Y51" s="370" t="str">
        <f>IF(VLOOKUP($A51,'Pre-Assessment Estimator'!$A$10:$Z$224,Y$2,FALSE)=0,"",VLOOKUP($A51,'Pre-Assessment Estimator'!$A$10:$Z$224,Y$2,FALSE))</f>
        <v/>
      </c>
      <c r="Z51" s="705"/>
      <c r="AA51" s="584"/>
      <c r="AE51" s="386">
        <f t="shared" si="0"/>
        <v>1</v>
      </c>
      <c r="AF51" s="95" t="e">
        <f>VLOOKUP(J51,'Assessment Details'!$O$45:$P$48,2,FALSE)</f>
        <v>#N/A</v>
      </c>
      <c r="AG51" s="95" t="e">
        <f>VLOOKUP(Q51,'Assessment Details'!$O$45:$P$48,2,FALSE)</f>
        <v>#N/A</v>
      </c>
      <c r="AH51" s="95" t="e">
        <f>VLOOKUP(X51,'Assessment Details'!$O$45:$P$48,2,FALSE)</f>
        <v>#N/A</v>
      </c>
      <c r="AP51" s="386"/>
      <c r="AQ51" s="386"/>
      <c r="AR51" s="386"/>
    </row>
    <row r="52" spans="1:44" x14ac:dyDescent="0.25">
      <c r="A52" s="836">
        <v>43</v>
      </c>
      <c r="B52" s="1262"/>
      <c r="C52" s="1262"/>
      <c r="D52" s="340" t="str">
        <f>VLOOKUP($A52,'Pre-Assessment Estimator'!$A$10:$Z$224,D$2,FALSE)</f>
        <v xml:space="preserve">Design for future thermal comfort </v>
      </c>
      <c r="E52" s="581">
        <f>VLOOKUP($A52,'Pre-Assessment Estimator'!$A$10:$Z$224,E$2,FALSE)</f>
        <v>1</v>
      </c>
      <c r="F52" s="587" t="str">
        <f>IF(VLOOKUP($A52,'Pre-Assessment Estimator'!$A$10:$Z$224,F$2,FALSE)=0,"",VLOOKUP($A52,'Pre-Assessment Estimator'!$A$10:$Z$224,F$2,FALSE))</f>
        <v/>
      </c>
      <c r="G52" s="1239">
        <f>VLOOKUP($A52,'Pre-Assessment Estimator'!$A$10:$Z$224,G$2,FALSE)</f>
        <v>0</v>
      </c>
      <c r="H52" s="583" t="str">
        <f>VLOOKUP($A52,'Pre-Assessment Estimator'!$A$10:$Z$224,H$2,FALSE)</f>
        <v>N/A</v>
      </c>
      <c r="I52" s="584" t="str">
        <f>IF(VLOOKUP($A52,'Pre-Assessment Estimator'!$A$10:$Z$224,I$2,FALSE)=0,"",VLOOKUP($A52,'Pre-Assessment Estimator'!$A$10:$Z$224,I$2,FALSE))</f>
        <v/>
      </c>
      <c r="J52" s="584" t="str">
        <f>IF(VLOOKUP($A52,'Pre-Assessment Estimator'!$A$10:$Z$224,J$2,FALSE)=0,"",VLOOKUP($A52,'Pre-Assessment Estimator'!$A$10:$Z$224,J$2,FALSE))</f>
        <v/>
      </c>
      <c r="K52" s="585" t="str">
        <f>IF(VLOOKUP($A52,'Pre-Assessment Estimator'!$A$10:$Z$224,K$2,FALSE)=0,"",VLOOKUP($A52,'Pre-Assessment Estimator'!$A$10:$Z$224,K$2,FALSE))</f>
        <v/>
      </c>
      <c r="L52" s="586"/>
      <c r="M52" s="587" t="str">
        <f>IF(VLOOKUP($A52,'Pre-Assessment Estimator'!$A$10:$Z$224,M$2,FALSE)=0,"",VLOOKUP($A52,'Pre-Assessment Estimator'!$A$10:$Z$224,M$2,FALSE))</f>
        <v/>
      </c>
      <c r="N52" s="582">
        <f>VLOOKUP($A52,'Pre-Assessment Estimator'!$A$10:$Z$224,N$2,FALSE)</f>
        <v>0</v>
      </c>
      <c r="O52" s="581" t="str">
        <f>VLOOKUP($A52,'Pre-Assessment Estimator'!$A$10:$Z$224,O$2,FALSE)</f>
        <v>N/A</v>
      </c>
      <c r="P52" s="584" t="str">
        <f>IF(VLOOKUP($A52,'Pre-Assessment Estimator'!$A$10:$Z$224,P$2,FALSE)=0,"",VLOOKUP($A52,'Pre-Assessment Estimator'!$A$10:$Z$224,P$2,FALSE))</f>
        <v/>
      </c>
      <c r="Q52" s="584" t="str">
        <f>IF(VLOOKUP($A52,'Pre-Assessment Estimator'!$A$10:$Z$224,Q$2,FALSE)=0,"",VLOOKUP($A52,'Pre-Assessment Estimator'!$A$10:$Z$224,Q$2,FALSE))</f>
        <v/>
      </c>
      <c r="R52" s="585" t="str">
        <f>IF(VLOOKUP($A52,'Pre-Assessment Estimator'!$A$10:$Z$224,R$2,FALSE)=0,"",VLOOKUP($A52,'Pre-Assessment Estimator'!$A$10:$Z$224,R$2,FALSE))</f>
        <v/>
      </c>
      <c r="S52" s="588"/>
      <c r="T52" s="587" t="str">
        <f>IF(VLOOKUP($A52,'Pre-Assessment Estimator'!$A$10:$Z$224,T$2,FALSE)=0,"",VLOOKUP($A52,'Pre-Assessment Estimator'!$A$10:$Z$224,T$2,FALSE))</f>
        <v/>
      </c>
      <c r="U52" s="582">
        <f>VLOOKUP($A52,'Pre-Assessment Estimator'!$A$10:$Z$224,U$2,FALSE)</f>
        <v>0</v>
      </c>
      <c r="V52" s="581" t="str">
        <f>VLOOKUP($A52,'Pre-Assessment Estimator'!$A$10:$Z$224,V$2,FALSE)</f>
        <v>N/A</v>
      </c>
      <c r="W52" s="584" t="str">
        <f>IF(VLOOKUP($A52,'Pre-Assessment Estimator'!$A$10:$Z$224,W$2,FALSE)=0,"",VLOOKUP($A52,'Pre-Assessment Estimator'!$A$10:$Z$224,W$2,FALSE))</f>
        <v/>
      </c>
      <c r="X52" s="584" t="str">
        <f>IF(VLOOKUP($A52,'Pre-Assessment Estimator'!$A$10:$Z$224,X$2,FALSE)=0,"",VLOOKUP($A52,'Pre-Assessment Estimator'!$A$10:$Z$224,X$2,FALSE))</f>
        <v/>
      </c>
      <c r="Y52" s="370" t="str">
        <f>IF(VLOOKUP($A52,'Pre-Assessment Estimator'!$A$10:$Z$224,Y$2,FALSE)=0,"",VLOOKUP($A52,'Pre-Assessment Estimator'!$A$10:$Z$224,Y$2,FALSE))</f>
        <v/>
      </c>
      <c r="Z52" s="705"/>
      <c r="AA52" s="584"/>
      <c r="AE52" s="386">
        <f t="shared" si="0"/>
        <v>1</v>
      </c>
      <c r="AF52" s="95" t="e">
        <f>VLOOKUP(J52,'Assessment Details'!$O$45:$P$48,2,FALSE)</f>
        <v>#N/A</v>
      </c>
      <c r="AG52" s="95" t="e">
        <f>VLOOKUP(Q52,'Assessment Details'!$O$45:$P$48,2,FALSE)</f>
        <v>#N/A</v>
      </c>
      <c r="AH52" s="95" t="e">
        <f>VLOOKUP(X52,'Assessment Details'!$O$45:$P$48,2,FALSE)</f>
        <v>#N/A</v>
      </c>
      <c r="AP52" s="386"/>
      <c r="AQ52" s="386"/>
      <c r="AR52" s="386"/>
    </row>
    <row r="53" spans="1:44" x14ac:dyDescent="0.25">
      <c r="A53" s="836">
        <v>44</v>
      </c>
      <c r="B53" s="1262"/>
      <c r="C53" s="1262"/>
      <c r="D53" s="340" t="str">
        <f>VLOOKUP($A53,'Pre-Assessment Estimator'!$A$10:$Z$224,D$2,FALSE)</f>
        <v xml:space="preserve">Thermal zoning and controls </v>
      </c>
      <c r="E53" s="581">
        <f>VLOOKUP($A53,'Pre-Assessment Estimator'!$A$10:$Z$224,E$2,FALSE)</f>
        <v>1</v>
      </c>
      <c r="F53" s="587" t="str">
        <f>IF(VLOOKUP($A53,'Pre-Assessment Estimator'!$A$10:$Z$224,F$2,FALSE)=0,"",VLOOKUP($A53,'Pre-Assessment Estimator'!$A$10:$Z$224,F$2,FALSE))</f>
        <v/>
      </c>
      <c r="G53" s="1239">
        <f>VLOOKUP($A53,'Pre-Assessment Estimator'!$A$10:$Z$224,G$2,FALSE)</f>
        <v>0</v>
      </c>
      <c r="H53" s="583" t="str">
        <f>VLOOKUP($A53,'Pre-Assessment Estimator'!$A$10:$Z$224,H$2,FALSE)</f>
        <v>N/A</v>
      </c>
      <c r="I53" s="584" t="str">
        <f>IF(VLOOKUP($A53,'Pre-Assessment Estimator'!$A$10:$Z$224,I$2,FALSE)=0,"",VLOOKUP($A53,'Pre-Assessment Estimator'!$A$10:$Z$224,I$2,FALSE))</f>
        <v/>
      </c>
      <c r="J53" s="584" t="str">
        <f>IF(VLOOKUP($A53,'Pre-Assessment Estimator'!$A$10:$Z$224,J$2,FALSE)=0,"",VLOOKUP($A53,'Pre-Assessment Estimator'!$A$10:$Z$224,J$2,FALSE))</f>
        <v/>
      </c>
      <c r="K53" s="585" t="str">
        <f>IF(VLOOKUP($A53,'Pre-Assessment Estimator'!$A$10:$Z$224,K$2,FALSE)=0,"",VLOOKUP($A53,'Pre-Assessment Estimator'!$A$10:$Z$224,K$2,FALSE))</f>
        <v/>
      </c>
      <c r="L53" s="586"/>
      <c r="M53" s="587" t="str">
        <f>IF(VLOOKUP($A53,'Pre-Assessment Estimator'!$A$10:$Z$224,M$2,FALSE)=0,"",VLOOKUP($A53,'Pre-Assessment Estimator'!$A$10:$Z$224,M$2,FALSE))</f>
        <v/>
      </c>
      <c r="N53" s="582">
        <f>VLOOKUP($A53,'Pre-Assessment Estimator'!$A$10:$Z$224,N$2,FALSE)</f>
        <v>0</v>
      </c>
      <c r="O53" s="581" t="str">
        <f>VLOOKUP($A53,'Pre-Assessment Estimator'!$A$10:$Z$224,O$2,FALSE)</f>
        <v>N/A</v>
      </c>
      <c r="P53" s="584" t="str">
        <f>IF(VLOOKUP($A53,'Pre-Assessment Estimator'!$A$10:$Z$224,P$2,FALSE)=0,"",VLOOKUP($A53,'Pre-Assessment Estimator'!$A$10:$Z$224,P$2,FALSE))</f>
        <v/>
      </c>
      <c r="Q53" s="584" t="str">
        <f>IF(VLOOKUP($A53,'Pre-Assessment Estimator'!$A$10:$Z$224,Q$2,FALSE)=0,"",VLOOKUP($A53,'Pre-Assessment Estimator'!$A$10:$Z$224,Q$2,FALSE))</f>
        <v/>
      </c>
      <c r="R53" s="585" t="str">
        <f>IF(VLOOKUP($A53,'Pre-Assessment Estimator'!$A$10:$Z$224,R$2,FALSE)=0,"",VLOOKUP($A53,'Pre-Assessment Estimator'!$A$10:$Z$224,R$2,FALSE))</f>
        <v/>
      </c>
      <c r="S53" s="588"/>
      <c r="T53" s="587" t="str">
        <f>IF(VLOOKUP($A53,'Pre-Assessment Estimator'!$A$10:$Z$224,T$2,FALSE)=0,"",VLOOKUP($A53,'Pre-Assessment Estimator'!$A$10:$Z$224,T$2,FALSE))</f>
        <v/>
      </c>
      <c r="U53" s="582">
        <f>VLOOKUP($A53,'Pre-Assessment Estimator'!$A$10:$Z$224,U$2,FALSE)</f>
        <v>0</v>
      </c>
      <c r="V53" s="581" t="str">
        <f>VLOOKUP($A53,'Pre-Assessment Estimator'!$A$10:$Z$224,V$2,FALSE)</f>
        <v>N/A</v>
      </c>
      <c r="W53" s="584" t="str">
        <f>IF(VLOOKUP($A53,'Pre-Assessment Estimator'!$A$10:$Z$224,W$2,FALSE)=0,"",VLOOKUP($A53,'Pre-Assessment Estimator'!$A$10:$Z$224,W$2,FALSE))</f>
        <v/>
      </c>
      <c r="X53" s="584" t="str">
        <f>IF(VLOOKUP($A53,'Pre-Assessment Estimator'!$A$10:$Z$224,X$2,FALSE)=0,"",VLOOKUP($A53,'Pre-Assessment Estimator'!$A$10:$Z$224,X$2,FALSE))</f>
        <v/>
      </c>
      <c r="Y53" s="370" t="str">
        <f>IF(VLOOKUP($A53,'Pre-Assessment Estimator'!$A$10:$Z$224,Y$2,FALSE)=0,"",VLOOKUP($A53,'Pre-Assessment Estimator'!$A$10:$Z$224,Y$2,FALSE))</f>
        <v/>
      </c>
      <c r="Z53" s="705"/>
      <c r="AA53" s="584"/>
      <c r="AE53" s="386">
        <f t="shared" si="0"/>
        <v>1</v>
      </c>
      <c r="AF53" s="95" t="e">
        <f>VLOOKUP(J53,'Assessment Details'!$O$45:$P$48,2,FALSE)</f>
        <v>#N/A</v>
      </c>
      <c r="AG53" s="95" t="e">
        <f>VLOOKUP(Q53,'Assessment Details'!$O$45:$P$48,2,FALSE)</f>
        <v>#N/A</v>
      </c>
      <c r="AH53" s="95" t="e">
        <f>VLOOKUP(X53,'Assessment Details'!$O$45:$P$48,2,FALSE)</f>
        <v>#N/A</v>
      </c>
      <c r="AP53" s="386"/>
      <c r="AQ53" s="386"/>
      <c r="AR53" s="386"/>
    </row>
    <row r="54" spans="1:44" x14ac:dyDescent="0.25">
      <c r="A54" s="836">
        <v>45</v>
      </c>
      <c r="B54" s="1262"/>
      <c r="C54" s="1262"/>
      <c r="D54" s="993" t="str">
        <f>VLOOKUP($A54,'Pre-Assessment Estimator'!$A$10:$Z$224,D$2,FALSE)</f>
        <v>Hea 05 Acoustic performance</v>
      </c>
      <c r="E54" s="581">
        <f>VLOOKUP($A54,'Pre-Assessment Estimator'!$A$10:$Z$224,E$2,FALSE)</f>
        <v>3</v>
      </c>
      <c r="F54" s="587" t="str">
        <f>IF(VLOOKUP($A54,'Pre-Assessment Estimator'!$A$10:$Z$224,F$2,FALSE)=0,"",VLOOKUP($A54,'Pre-Assessment Estimator'!$A$10:$Z$224,F$2,FALSE))</f>
        <v/>
      </c>
      <c r="G54" s="1239" t="str">
        <f>VLOOKUP($A54,'Pre-Assessment Estimator'!$A$10:$Z$224,G$2,FALSE)</f>
        <v>0 c. 0 %</v>
      </c>
      <c r="H54" s="583" t="str">
        <f>VLOOKUP($A54,'Pre-Assessment Estimator'!$A$10:$Z$224,H$2,FALSE)</f>
        <v>N/A</v>
      </c>
      <c r="I54" s="584" t="str">
        <f>IF(VLOOKUP($A54,'Pre-Assessment Estimator'!$A$10:$Z$224,I$2,FALSE)=0,"",VLOOKUP($A54,'Pre-Assessment Estimator'!$A$10:$Z$224,I$2,FALSE))</f>
        <v/>
      </c>
      <c r="J54" s="584" t="str">
        <f>IF(VLOOKUP($A54,'Pre-Assessment Estimator'!$A$10:$Z$224,J$2,FALSE)=0,"",VLOOKUP($A54,'Pre-Assessment Estimator'!$A$10:$Z$224,J$2,FALSE))</f>
        <v/>
      </c>
      <c r="K54" s="585" t="str">
        <f>IF(VLOOKUP($A54,'Pre-Assessment Estimator'!$A$10:$Z$224,K$2,FALSE)=0,"",VLOOKUP($A54,'Pre-Assessment Estimator'!$A$10:$Z$224,K$2,FALSE))</f>
        <v/>
      </c>
      <c r="L54" s="586"/>
      <c r="M54" s="587" t="str">
        <f>IF(VLOOKUP($A54,'Pre-Assessment Estimator'!$A$10:$Z$224,M$2,FALSE)=0,"",VLOOKUP($A54,'Pre-Assessment Estimator'!$A$10:$Z$224,M$2,FALSE))</f>
        <v/>
      </c>
      <c r="N54" s="582" t="str">
        <f>VLOOKUP($A54,'Pre-Assessment Estimator'!$A$10:$Z$224,N$2,FALSE)</f>
        <v>0 c. 0 %</v>
      </c>
      <c r="O54" s="581" t="str">
        <f>VLOOKUP($A54,'Pre-Assessment Estimator'!$A$10:$Z$224,O$2,FALSE)</f>
        <v>N/A</v>
      </c>
      <c r="P54" s="584" t="str">
        <f>IF(VLOOKUP($A54,'Pre-Assessment Estimator'!$A$10:$Z$224,P$2,FALSE)=0,"",VLOOKUP($A54,'Pre-Assessment Estimator'!$A$10:$Z$224,P$2,FALSE))</f>
        <v/>
      </c>
      <c r="Q54" s="584" t="str">
        <f>IF(VLOOKUP($A54,'Pre-Assessment Estimator'!$A$10:$Z$224,Q$2,FALSE)=0,"",VLOOKUP($A54,'Pre-Assessment Estimator'!$A$10:$Z$224,Q$2,FALSE))</f>
        <v/>
      </c>
      <c r="R54" s="585" t="str">
        <f>IF(VLOOKUP($A54,'Pre-Assessment Estimator'!$A$10:$Z$224,R$2,FALSE)=0,"",VLOOKUP($A54,'Pre-Assessment Estimator'!$A$10:$Z$224,R$2,FALSE))</f>
        <v/>
      </c>
      <c r="S54" s="588"/>
      <c r="T54" s="587" t="str">
        <f>IF(VLOOKUP($A54,'Pre-Assessment Estimator'!$A$10:$Z$224,T$2,FALSE)=0,"",VLOOKUP($A54,'Pre-Assessment Estimator'!$A$10:$Z$224,T$2,FALSE))</f>
        <v/>
      </c>
      <c r="U54" s="582" t="str">
        <f>VLOOKUP($A54,'Pre-Assessment Estimator'!$A$10:$Z$224,U$2,FALSE)</f>
        <v>0 c. 0 %</v>
      </c>
      <c r="V54" s="581" t="str">
        <f>VLOOKUP($A54,'Pre-Assessment Estimator'!$A$10:$Z$224,V$2,FALSE)</f>
        <v>N/A</v>
      </c>
      <c r="W54" s="584" t="str">
        <f>IF(VLOOKUP($A54,'Pre-Assessment Estimator'!$A$10:$Z$224,W$2,FALSE)=0,"",VLOOKUP($A54,'Pre-Assessment Estimator'!$A$10:$Z$224,W$2,FALSE))</f>
        <v/>
      </c>
      <c r="X54" s="584" t="str">
        <f>IF(VLOOKUP($A54,'Pre-Assessment Estimator'!$A$10:$Z$224,X$2,FALSE)=0,"",VLOOKUP($A54,'Pre-Assessment Estimator'!$A$10:$Z$224,X$2,FALSE))</f>
        <v/>
      </c>
      <c r="Y54" s="370" t="str">
        <f>IF(VLOOKUP($A54,'Pre-Assessment Estimator'!$A$10:$Z$224,Y$2,FALSE)=0,"",VLOOKUP($A54,'Pre-Assessment Estimator'!$A$10:$Z$224,Y$2,FALSE))</f>
        <v/>
      </c>
      <c r="Z54" s="705"/>
      <c r="AA54" s="584"/>
      <c r="AE54" s="386">
        <f t="shared" si="0"/>
        <v>1</v>
      </c>
      <c r="AF54" s="95" t="e">
        <f>VLOOKUP(J54,'Assessment Details'!$O$45:$P$48,2,FALSE)</f>
        <v>#N/A</v>
      </c>
      <c r="AG54" s="95" t="e">
        <f>VLOOKUP(Q54,'Assessment Details'!$O$45:$P$48,2,FALSE)</f>
        <v>#N/A</v>
      </c>
      <c r="AH54" s="95" t="e">
        <f>VLOOKUP(X54,'Assessment Details'!$O$45:$P$48,2,FALSE)</f>
        <v>#N/A</v>
      </c>
      <c r="AP54" s="386"/>
      <c r="AQ54" s="386"/>
      <c r="AR54" s="386"/>
    </row>
    <row r="55" spans="1:44" x14ac:dyDescent="0.25">
      <c r="A55" s="836">
        <v>46</v>
      </c>
      <c r="B55" s="1262"/>
      <c r="C55" s="1262"/>
      <c r="D55" s="340" t="str">
        <f>VLOOKUP($A55,'Pre-Assessment Estimator'!$A$10:$Z$224,D$2,FALSE)</f>
        <v xml:space="preserve">Pre-requisite: suitably qualified acoustician </v>
      </c>
      <c r="E55" s="581" t="str">
        <f>VLOOKUP($A55,'Pre-Assessment Estimator'!$A$10:$Z$224,E$2,FALSE)</f>
        <v>Yes/No</v>
      </c>
      <c r="F55" s="587" t="str">
        <f>IF(VLOOKUP($A55,'Pre-Assessment Estimator'!$A$10:$Z$224,F$2,FALSE)=0,"",VLOOKUP($A55,'Pre-Assessment Estimator'!$A$10:$Z$224,F$2,FALSE))</f>
        <v/>
      </c>
      <c r="G55" s="1239" t="str">
        <f>VLOOKUP($A55,'Pre-Assessment Estimator'!$A$10:$Z$224,G$2,FALSE)</f>
        <v>-</v>
      </c>
      <c r="H55" s="583" t="str">
        <f>VLOOKUP($A55,'Pre-Assessment Estimator'!$A$10:$Z$224,H$2,FALSE)</f>
        <v>N/A</v>
      </c>
      <c r="I55" s="584" t="str">
        <f>IF(VLOOKUP($A55,'Pre-Assessment Estimator'!$A$10:$Z$224,I$2,FALSE)=0,"",VLOOKUP($A55,'Pre-Assessment Estimator'!$A$10:$Z$224,I$2,FALSE))</f>
        <v/>
      </c>
      <c r="J55" s="584" t="str">
        <f>IF(VLOOKUP($A55,'Pre-Assessment Estimator'!$A$10:$Z$224,J$2,FALSE)=0,"",VLOOKUP($A55,'Pre-Assessment Estimator'!$A$10:$Z$224,J$2,FALSE))</f>
        <v/>
      </c>
      <c r="K55" s="585" t="str">
        <f>IF(VLOOKUP($A55,'Pre-Assessment Estimator'!$A$10:$Z$224,K$2,FALSE)=0,"",VLOOKUP($A55,'Pre-Assessment Estimator'!$A$10:$Z$224,K$2,FALSE))</f>
        <v/>
      </c>
      <c r="L55" s="586"/>
      <c r="M55" s="587" t="str">
        <f>IF(VLOOKUP($A55,'Pre-Assessment Estimator'!$A$10:$Z$224,M$2,FALSE)=0,"",VLOOKUP($A55,'Pre-Assessment Estimator'!$A$10:$Z$224,M$2,FALSE))</f>
        <v/>
      </c>
      <c r="N55" s="582" t="str">
        <f>VLOOKUP($A55,'Pre-Assessment Estimator'!$A$10:$Z$224,N$2,FALSE)</f>
        <v>-</v>
      </c>
      <c r="O55" s="581" t="str">
        <f>VLOOKUP($A55,'Pre-Assessment Estimator'!$A$10:$Z$224,O$2,FALSE)</f>
        <v>N/A</v>
      </c>
      <c r="P55" s="584" t="str">
        <f>IF(VLOOKUP($A55,'Pre-Assessment Estimator'!$A$10:$Z$224,P$2,FALSE)=0,"",VLOOKUP($A55,'Pre-Assessment Estimator'!$A$10:$Z$224,P$2,FALSE))</f>
        <v/>
      </c>
      <c r="Q55" s="584" t="str">
        <f>IF(VLOOKUP($A55,'Pre-Assessment Estimator'!$A$10:$Z$224,Q$2,FALSE)=0,"",VLOOKUP($A55,'Pre-Assessment Estimator'!$A$10:$Z$224,Q$2,FALSE))</f>
        <v/>
      </c>
      <c r="R55" s="585" t="str">
        <f>IF(VLOOKUP($A55,'Pre-Assessment Estimator'!$A$10:$Z$224,R$2,FALSE)=0,"",VLOOKUP($A55,'Pre-Assessment Estimator'!$A$10:$Z$224,R$2,FALSE))</f>
        <v/>
      </c>
      <c r="S55" s="588"/>
      <c r="T55" s="587" t="str">
        <f>IF(VLOOKUP($A55,'Pre-Assessment Estimator'!$A$10:$Z$224,T$2,FALSE)=0,"",VLOOKUP($A55,'Pre-Assessment Estimator'!$A$10:$Z$224,T$2,FALSE))</f>
        <v/>
      </c>
      <c r="U55" s="582" t="str">
        <f>VLOOKUP($A55,'Pre-Assessment Estimator'!$A$10:$Z$224,U$2,FALSE)</f>
        <v>-</v>
      </c>
      <c r="V55" s="581" t="str">
        <f>VLOOKUP($A55,'Pre-Assessment Estimator'!$A$10:$Z$224,V$2,FALSE)</f>
        <v>N/A</v>
      </c>
      <c r="W55" s="584" t="str">
        <f>IF(VLOOKUP($A55,'Pre-Assessment Estimator'!$A$10:$Z$224,W$2,FALSE)=0,"",VLOOKUP($A55,'Pre-Assessment Estimator'!$A$10:$Z$224,W$2,FALSE))</f>
        <v/>
      </c>
      <c r="X55" s="584" t="str">
        <f>IF(VLOOKUP($A55,'Pre-Assessment Estimator'!$A$10:$Z$224,X$2,FALSE)=0,"",VLOOKUP($A55,'Pre-Assessment Estimator'!$A$10:$Z$224,X$2,FALSE))</f>
        <v/>
      </c>
      <c r="Y55" s="370" t="str">
        <f>IF(VLOOKUP($A55,'Pre-Assessment Estimator'!$A$10:$Z$224,Y$2,FALSE)=0,"",VLOOKUP($A55,'Pre-Assessment Estimator'!$A$10:$Z$224,Y$2,FALSE))</f>
        <v/>
      </c>
      <c r="Z55" s="705"/>
      <c r="AA55" s="584"/>
      <c r="AE55" s="386">
        <f t="shared" si="0"/>
        <v>1</v>
      </c>
      <c r="AF55" s="95" t="e">
        <f>VLOOKUP(J55,'Assessment Details'!$O$45:$P$48,2,FALSE)</f>
        <v>#N/A</v>
      </c>
      <c r="AG55" s="95" t="e">
        <f>VLOOKUP(Q55,'Assessment Details'!$O$45:$P$48,2,FALSE)</f>
        <v>#N/A</v>
      </c>
      <c r="AH55" s="95" t="e">
        <f>VLOOKUP(X55,'Assessment Details'!$O$45:$P$48,2,FALSE)</f>
        <v>#N/A</v>
      </c>
      <c r="AP55" s="386"/>
      <c r="AQ55" s="386"/>
      <c r="AR55" s="386"/>
    </row>
    <row r="56" spans="1:44" x14ac:dyDescent="0.25">
      <c r="A56" s="836">
        <v>47</v>
      </c>
      <c r="B56" s="1262"/>
      <c r="C56" s="1262"/>
      <c r="D56" s="340" t="str">
        <f>VLOOKUP($A56,'Pre-Assessment Estimator'!$A$10:$Z$224,D$2,FALSE)</f>
        <v xml:space="preserve">Sound class requirements </v>
      </c>
      <c r="E56" s="581">
        <f>VLOOKUP($A56,'Pre-Assessment Estimator'!$A$10:$Z$224,E$2,FALSE)</f>
        <v>3</v>
      </c>
      <c r="F56" s="587" t="str">
        <f>IF(VLOOKUP($A56,'Pre-Assessment Estimator'!$A$10:$Z$224,F$2,FALSE)=0,"",VLOOKUP($A56,'Pre-Assessment Estimator'!$A$10:$Z$224,F$2,FALSE))</f>
        <v/>
      </c>
      <c r="G56" s="1239">
        <f>VLOOKUP($A56,'Pre-Assessment Estimator'!$A$10:$Z$224,G$2,FALSE)</f>
        <v>0</v>
      </c>
      <c r="H56" s="583" t="str">
        <f>VLOOKUP($A56,'Pre-Assessment Estimator'!$A$10:$Z$224,H$2,FALSE)</f>
        <v>N/A</v>
      </c>
      <c r="I56" s="584" t="str">
        <f>IF(VLOOKUP($A56,'Pre-Assessment Estimator'!$A$10:$Z$224,I$2,FALSE)=0,"",VLOOKUP($A56,'Pre-Assessment Estimator'!$A$10:$Z$224,I$2,FALSE))</f>
        <v/>
      </c>
      <c r="J56" s="584" t="str">
        <f>IF(VLOOKUP($A56,'Pre-Assessment Estimator'!$A$10:$Z$224,J$2,FALSE)=0,"",VLOOKUP($A56,'Pre-Assessment Estimator'!$A$10:$Z$224,J$2,FALSE))</f>
        <v/>
      </c>
      <c r="K56" s="585" t="str">
        <f>IF(VLOOKUP($A56,'Pre-Assessment Estimator'!$A$10:$Z$224,K$2,FALSE)=0,"",VLOOKUP($A56,'Pre-Assessment Estimator'!$A$10:$Z$224,K$2,FALSE))</f>
        <v/>
      </c>
      <c r="L56" s="586"/>
      <c r="M56" s="587" t="str">
        <f>IF(VLOOKUP($A56,'Pre-Assessment Estimator'!$A$10:$Z$224,M$2,FALSE)=0,"",VLOOKUP($A56,'Pre-Assessment Estimator'!$A$10:$Z$224,M$2,FALSE))</f>
        <v/>
      </c>
      <c r="N56" s="582">
        <f>VLOOKUP($A56,'Pre-Assessment Estimator'!$A$10:$Z$224,N$2,FALSE)</f>
        <v>0</v>
      </c>
      <c r="O56" s="581" t="str">
        <f>VLOOKUP($A56,'Pre-Assessment Estimator'!$A$10:$Z$224,O$2,FALSE)</f>
        <v>N/A</v>
      </c>
      <c r="P56" s="584" t="str">
        <f>IF(VLOOKUP($A56,'Pre-Assessment Estimator'!$A$10:$Z$224,P$2,FALSE)=0,"",VLOOKUP($A56,'Pre-Assessment Estimator'!$A$10:$Z$224,P$2,FALSE))</f>
        <v/>
      </c>
      <c r="Q56" s="584" t="str">
        <f>IF(VLOOKUP($A56,'Pre-Assessment Estimator'!$A$10:$Z$224,Q$2,FALSE)=0,"",VLOOKUP($A56,'Pre-Assessment Estimator'!$A$10:$Z$224,Q$2,FALSE))</f>
        <v/>
      </c>
      <c r="R56" s="585" t="str">
        <f>IF(VLOOKUP($A56,'Pre-Assessment Estimator'!$A$10:$Z$224,R$2,FALSE)=0,"",VLOOKUP($A56,'Pre-Assessment Estimator'!$A$10:$Z$224,R$2,FALSE))</f>
        <v/>
      </c>
      <c r="S56" s="588"/>
      <c r="T56" s="587" t="str">
        <f>IF(VLOOKUP($A56,'Pre-Assessment Estimator'!$A$10:$Z$224,T$2,FALSE)=0,"",VLOOKUP($A56,'Pre-Assessment Estimator'!$A$10:$Z$224,T$2,FALSE))</f>
        <v/>
      </c>
      <c r="U56" s="582">
        <f>VLOOKUP($A56,'Pre-Assessment Estimator'!$A$10:$Z$224,U$2,FALSE)</f>
        <v>0</v>
      </c>
      <c r="V56" s="581" t="str">
        <f>VLOOKUP($A56,'Pre-Assessment Estimator'!$A$10:$Z$224,V$2,FALSE)</f>
        <v>N/A</v>
      </c>
      <c r="W56" s="584" t="str">
        <f>IF(VLOOKUP($A56,'Pre-Assessment Estimator'!$A$10:$Z$224,W$2,FALSE)=0,"",VLOOKUP($A56,'Pre-Assessment Estimator'!$A$10:$Z$224,W$2,FALSE))</f>
        <v/>
      </c>
      <c r="X56" s="584" t="str">
        <f>IF(VLOOKUP($A56,'Pre-Assessment Estimator'!$A$10:$Z$224,X$2,FALSE)=0,"",VLOOKUP($A56,'Pre-Assessment Estimator'!$A$10:$Z$224,X$2,FALSE))</f>
        <v/>
      </c>
      <c r="Y56" s="370" t="str">
        <f>IF(VLOOKUP($A56,'Pre-Assessment Estimator'!$A$10:$Z$224,Y$2,FALSE)=0,"",VLOOKUP($A56,'Pre-Assessment Estimator'!$A$10:$Z$224,Y$2,FALSE))</f>
        <v/>
      </c>
      <c r="Z56" s="705"/>
      <c r="AA56" s="584"/>
      <c r="AE56" s="386">
        <f t="shared" si="0"/>
        <v>1</v>
      </c>
      <c r="AF56" s="95" t="e">
        <f>VLOOKUP(J56,'Assessment Details'!$O$45:$P$48,2,FALSE)</f>
        <v>#N/A</v>
      </c>
      <c r="AG56" s="95" t="e">
        <f>VLOOKUP(Q56,'Assessment Details'!$O$45:$P$48,2,FALSE)</f>
        <v>#N/A</v>
      </c>
      <c r="AH56" s="95" t="e">
        <f>VLOOKUP(X56,'Assessment Details'!$O$45:$P$48,2,FALSE)</f>
        <v>#N/A</v>
      </c>
      <c r="AP56" s="386"/>
      <c r="AQ56" s="386"/>
      <c r="AR56" s="386"/>
    </row>
    <row r="57" spans="1:44" x14ac:dyDescent="0.25">
      <c r="A57" s="836">
        <v>48</v>
      </c>
      <c r="B57" s="1262"/>
      <c r="C57" s="1262"/>
      <c r="D57" s="993" t="str">
        <f>VLOOKUP($A57,'Pre-Assessment Estimator'!$A$10:$Z$224,D$2,FALSE)</f>
        <v>Hea 06 Safe access</v>
      </c>
      <c r="E57" s="581">
        <f>VLOOKUP($A57,'Pre-Assessment Estimator'!$A$10:$Z$224,E$2,FALSE)</f>
        <v>2</v>
      </c>
      <c r="F57" s="587" t="str">
        <f>IF(VLOOKUP($A57,'Pre-Assessment Estimator'!$A$10:$Z$224,F$2,FALSE)=0,"",VLOOKUP($A57,'Pre-Assessment Estimator'!$A$10:$Z$224,F$2,FALSE))</f>
        <v/>
      </c>
      <c r="G57" s="1239" t="str">
        <f>VLOOKUP($A57,'Pre-Assessment Estimator'!$A$10:$Z$224,G$2,FALSE)</f>
        <v>0 c. 0 %</v>
      </c>
      <c r="H57" s="583" t="str">
        <f>VLOOKUP($A57,'Pre-Assessment Estimator'!$A$10:$Z$224,H$2,FALSE)</f>
        <v>N/A</v>
      </c>
      <c r="I57" s="584" t="str">
        <f>IF(VLOOKUP($A57,'Pre-Assessment Estimator'!$A$10:$Z$224,I$2,FALSE)=0,"",VLOOKUP($A57,'Pre-Assessment Estimator'!$A$10:$Z$224,I$2,FALSE))</f>
        <v/>
      </c>
      <c r="J57" s="584" t="str">
        <f>IF(VLOOKUP($A57,'Pre-Assessment Estimator'!$A$10:$Z$224,J$2,FALSE)=0,"",VLOOKUP($A57,'Pre-Assessment Estimator'!$A$10:$Z$224,J$2,FALSE))</f>
        <v/>
      </c>
      <c r="K57" s="585" t="str">
        <f>IF(VLOOKUP($A57,'Pre-Assessment Estimator'!$A$10:$Z$224,K$2,FALSE)=0,"",VLOOKUP($A57,'Pre-Assessment Estimator'!$A$10:$Z$224,K$2,FALSE))</f>
        <v/>
      </c>
      <c r="L57" s="586"/>
      <c r="M57" s="587" t="str">
        <f>IF(VLOOKUP($A57,'Pre-Assessment Estimator'!$A$10:$Z$224,M$2,FALSE)=0,"",VLOOKUP($A57,'Pre-Assessment Estimator'!$A$10:$Z$224,M$2,FALSE))</f>
        <v/>
      </c>
      <c r="N57" s="582" t="str">
        <f>VLOOKUP($A57,'Pre-Assessment Estimator'!$A$10:$Z$224,N$2,FALSE)</f>
        <v>0 c. 0 %</v>
      </c>
      <c r="O57" s="581" t="str">
        <f>VLOOKUP($A57,'Pre-Assessment Estimator'!$A$10:$Z$224,O$2,FALSE)</f>
        <v>N/A</v>
      </c>
      <c r="P57" s="584" t="str">
        <f>IF(VLOOKUP($A57,'Pre-Assessment Estimator'!$A$10:$Z$224,P$2,FALSE)=0,"",VLOOKUP($A57,'Pre-Assessment Estimator'!$A$10:$Z$224,P$2,FALSE))</f>
        <v/>
      </c>
      <c r="Q57" s="584" t="str">
        <f>IF(VLOOKUP($A57,'Pre-Assessment Estimator'!$A$10:$Z$224,Q$2,FALSE)=0,"",VLOOKUP($A57,'Pre-Assessment Estimator'!$A$10:$Z$224,Q$2,FALSE))</f>
        <v/>
      </c>
      <c r="R57" s="585" t="str">
        <f>IF(VLOOKUP($A57,'Pre-Assessment Estimator'!$A$10:$Z$224,R$2,FALSE)=0,"",VLOOKUP($A57,'Pre-Assessment Estimator'!$A$10:$Z$224,R$2,FALSE))</f>
        <v/>
      </c>
      <c r="S57" s="588"/>
      <c r="T57" s="587" t="str">
        <f>IF(VLOOKUP($A57,'Pre-Assessment Estimator'!$A$10:$Z$224,T$2,FALSE)=0,"",VLOOKUP($A57,'Pre-Assessment Estimator'!$A$10:$Z$224,T$2,FALSE))</f>
        <v/>
      </c>
      <c r="U57" s="582" t="str">
        <f>VLOOKUP($A57,'Pre-Assessment Estimator'!$A$10:$Z$224,U$2,FALSE)</f>
        <v>0 c. 0 %</v>
      </c>
      <c r="V57" s="581" t="str">
        <f>VLOOKUP($A57,'Pre-Assessment Estimator'!$A$10:$Z$224,V$2,FALSE)</f>
        <v>N/A</v>
      </c>
      <c r="W57" s="584" t="str">
        <f>IF(VLOOKUP($A57,'Pre-Assessment Estimator'!$A$10:$Z$224,W$2,FALSE)=0,"",VLOOKUP($A57,'Pre-Assessment Estimator'!$A$10:$Z$224,W$2,FALSE))</f>
        <v/>
      </c>
      <c r="X57" s="584" t="str">
        <f>IF(VLOOKUP($A57,'Pre-Assessment Estimator'!$A$10:$Z$224,X$2,FALSE)=0,"",VLOOKUP($A57,'Pre-Assessment Estimator'!$A$10:$Z$224,X$2,FALSE))</f>
        <v/>
      </c>
      <c r="Y57" s="370" t="str">
        <f>IF(VLOOKUP($A57,'Pre-Assessment Estimator'!$A$10:$Z$224,Y$2,FALSE)=0,"",VLOOKUP($A57,'Pre-Assessment Estimator'!$A$10:$Z$224,Y$2,FALSE))</f>
        <v/>
      </c>
      <c r="Z57" s="705"/>
      <c r="AA57" s="584"/>
      <c r="AE57" s="386">
        <f t="shared" si="0"/>
        <v>1</v>
      </c>
      <c r="AF57" s="95" t="e">
        <f>VLOOKUP(J57,'Assessment Details'!$O$45:$P$48,2,FALSE)</f>
        <v>#N/A</v>
      </c>
      <c r="AG57" s="95" t="e">
        <f>VLOOKUP(Q57,'Assessment Details'!$O$45:$P$48,2,FALSE)</f>
        <v>#N/A</v>
      </c>
      <c r="AH57" s="95" t="e">
        <f>VLOOKUP(X57,'Assessment Details'!$O$45:$P$48,2,FALSE)</f>
        <v>#N/A</v>
      </c>
      <c r="AP57" s="386"/>
      <c r="AQ57" s="386"/>
      <c r="AR57" s="386"/>
    </row>
    <row r="58" spans="1:44" x14ac:dyDescent="0.25">
      <c r="A58" s="836">
        <v>49</v>
      </c>
      <c r="B58" s="1262"/>
      <c r="C58" s="1262"/>
      <c r="D58" s="340" t="str">
        <f>VLOOKUP($A58,'Pre-Assessment Estimator'!$A$10:$Z$224,D$2,FALSE)</f>
        <v xml:space="preserve">Inclusive design </v>
      </c>
      <c r="E58" s="581">
        <f>VLOOKUP($A58,'Pre-Assessment Estimator'!$A$10:$Z$224,E$2,FALSE)</f>
        <v>1</v>
      </c>
      <c r="F58" s="587" t="str">
        <f>IF(VLOOKUP($A58,'Pre-Assessment Estimator'!$A$10:$Z$224,F$2,FALSE)=0,"",VLOOKUP($A58,'Pre-Assessment Estimator'!$A$10:$Z$224,F$2,FALSE))</f>
        <v/>
      </c>
      <c r="G58" s="1239">
        <f>VLOOKUP($A58,'Pre-Assessment Estimator'!$A$10:$Z$224,G$2,FALSE)</f>
        <v>0</v>
      </c>
      <c r="H58" s="583" t="str">
        <f>VLOOKUP($A58,'Pre-Assessment Estimator'!$A$10:$Z$224,H$2,FALSE)</f>
        <v>N/A</v>
      </c>
      <c r="I58" s="584" t="str">
        <f>IF(VLOOKUP($A58,'Pre-Assessment Estimator'!$A$10:$Z$224,I$2,FALSE)=0,"",VLOOKUP($A58,'Pre-Assessment Estimator'!$A$10:$Z$224,I$2,FALSE))</f>
        <v/>
      </c>
      <c r="J58" s="584" t="str">
        <f>IF(VLOOKUP($A58,'Pre-Assessment Estimator'!$A$10:$Z$224,J$2,FALSE)=0,"",VLOOKUP($A58,'Pre-Assessment Estimator'!$A$10:$Z$224,J$2,FALSE))</f>
        <v/>
      </c>
      <c r="K58" s="585" t="str">
        <f>IF(VLOOKUP($A58,'Pre-Assessment Estimator'!$A$10:$Z$224,K$2,FALSE)=0,"",VLOOKUP($A58,'Pre-Assessment Estimator'!$A$10:$Z$224,K$2,FALSE))</f>
        <v/>
      </c>
      <c r="L58" s="586"/>
      <c r="M58" s="587" t="str">
        <f>IF(VLOOKUP($A58,'Pre-Assessment Estimator'!$A$10:$Z$224,M$2,FALSE)=0,"",VLOOKUP($A58,'Pre-Assessment Estimator'!$A$10:$Z$224,M$2,FALSE))</f>
        <v/>
      </c>
      <c r="N58" s="582">
        <f>VLOOKUP($A58,'Pre-Assessment Estimator'!$A$10:$Z$224,N$2,FALSE)</f>
        <v>0</v>
      </c>
      <c r="O58" s="581" t="str">
        <f>VLOOKUP($A58,'Pre-Assessment Estimator'!$A$10:$Z$224,O$2,FALSE)</f>
        <v>N/A</v>
      </c>
      <c r="P58" s="584" t="str">
        <f>IF(VLOOKUP($A58,'Pre-Assessment Estimator'!$A$10:$Z$224,P$2,FALSE)=0,"",VLOOKUP($A58,'Pre-Assessment Estimator'!$A$10:$Z$224,P$2,FALSE))</f>
        <v/>
      </c>
      <c r="Q58" s="584" t="str">
        <f>IF(VLOOKUP($A58,'Pre-Assessment Estimator'!$A$10:$Z$224,Q$2,FALSE)=0,"",VLOOKUP($A58,'Pre-Assessment Estimator'!$A$10:$Z$224,Q$2,FALSE))</f>
        <v/>
      </c>
      <c r="R58" s="585" t="str">
        <f>IF(VLOOKUP($A58,'Pre-Assessment Estimator'!$A$10:$Z$224,R$2,FALSE)=0,"",VLOOKUP($A58,'Pre-Assessment Estimator'!$A$10:$Z$224,R$2,FALSE))</f>
        <v/>
      </c>
      <c r="S58" s="588"/>
      <c r="T58" s="587" t="str">
        <f>IF(VLOOKUP($A58,'Pre-Assessment Estimator'!$A$10:$Z$224,T$2,FALSE)=0,"",VLOOKUP($A58,'Pre-Assessment Estimator'!$A$10:$Z$224,T$2,FALSE))</f>
        <v/>
      </c>
      <c r="U58" s="582">
        <f>VLOOKUP($A58,'Pre-Assessment Estimator'!$A$10:$Z$224,U$2,FALSE)</f>
        <v>0</v>
      </c>
      <c r="V58" s="581" t="str">
        <f>VLOOKUP($A58,'Pre-Assessment Estimator'!$A$10:$Z$224,V$2,FALSE)</f>
        <v>N/A</v>
      </c>
      <c r="W58" s="584" t="str">
        <f>IF(VLOOKUP($A58,'Pre-Assessment Estimator'!$A$10:$Z$224,W$2,FALSE)=0,"",VLOOKUP($A58,'Pre-Assessment Estimator'!$A$10:$Z$224,W$2,FALSE))</f>
        <v/>
      </c>
      <c r="X58" s="584" t="str">
        <f>IF(VLOOKUP($A58,'Pre-Assessment Estimator'!$A$10:$Z$224,X$2,FALSE)=0,"",VLOOKUP($A58,'Pre-Assessment Estimator'!$A$10:$Z$224,X$2,FALSE))</f>
        <v/>
      </c>
      <c r="Y58" s="370" t="str">
        <f>IF(VLOOKUP($A58,'Pre-Assessment Estimator'!$A$10:$Z$224,Y$2,FALSE)=0,"",VLOOKUP($A58,'Pre-Assessment Estimator'!$A$10:$Z$224,Y$2,FALSE))</f>
        <v/>
      </c>
      <c r="Z58" s="705"/>
      <c r="AA58" s="584"/>
      <c r="AE58" s="386">
        <f t="shared" si="0"/>
        <v>1</v>
      </c>
      <c r="AF58" s="95" t="e">
        <f>VLOOKUP(J58,'Assessment Details'!$O$45:$P$48,2,FALSE)</f>
        <v>#N/A</v>
      </c>
      <c r="AG58" s="95" t="e">
        <f>VLOOKUP(Q58,'Assessment Details'!$O$45:$P$48,2,FALSE)</f>
        <v>#N/A</v>
      </c>
      <c r="AH58" s="95" t="e">
        <f>VLOOKUP(X58,'Assessment Details'!$O$45:$P$48,2,FALSE)</f>
        <v>#N/A</v>
      </c>
      <c r="AP58" s="386"/>
      <c r="AQ58" s="386"/>
      <c r="AR58" s="386"/>
    </row>
    <row r="59" spans="1:44" x14ac:dyDescent="0.25">
      <c r="A59" s="836">
        <v>50</v>
      </c>
      <c r="B59" s="1262"/>
      <c r="C59" s="1262"/>
      <c r="D59" s="340" t="str">
        <f>VLOOKUP($A59,'Pre-Assessment Estimator'!$A$10:$Z$224,D$2,FALSE)</f>
        <v xml:space="preserve">Biofilik design </v>
      </c>
      <c r="E59" s="581">
        <f>VLOOKUP($A59,'Pre-Assessment Estimator'!$A$10:$Z$224,E$2,FALSE)</f>
        <v>1</v>
      </c>
      <c r="F59" s="587" t="str">
        <f>IF(VLOOKUP($A59,'Pre-Assessment Estimator'!$A$10:$Z$224,F$2,FALSE)=0,"",VLOOKUP($A59,'Pre-Assessment Estimator'!$A$10:$Z$224,F$2,FALSE))</f>
        <v/>
      </c>
      <c r="G59" s="1239">
        <f>VLOOKUP($A59,'Pre-Assessment Estimator'!$A$10:$Z$224,G$2,FALSE)</f>
        <v>0</v>
      </c>
      <c r="H59" s="583" t="str">
        <f>VLOOKUP($A59,'Pre-Assessment Estimator'!$A$10:$Z$224,H$2,FALSE)</f>
        <v>N/A</v>
      </c>
      <c r="I59" s="584" t="str">
        <f>IF(VLOOKUP($A59,'Pre-Assessment Estimator'!$A$10:$Z$224,I$2,FALSE)=0,"",VLOOKUP($A59,'Pre-Assessment Estimator'!$A$10:$Z$224,I$2,FALSE))</f>
        <v/>
      </c>
      <c r="J59" s="584" t="str">
        <f>IF(VLOOKUP($A59,'Pre-Assessment Estimator'!$A$10:$Z$224,J$2,FALSE)=0,"",VLOOKUP($A59,'Pre-Assessment Estimator'!$A$10:$Z$224,J$2,FALSE))</f>
        <v/>
      </c>
      <c r="K59" s="585" t="str">
        <f>IF(VLOOKUP($A59,'Pre-Assessment Estimator'!$A$10:$Z$224,K$2,FALSE)=0,"",VLOOKUP($A59,'Pre-Assessment Estimator'!$A$10:$Z$224,K$2,FALSE))</f>
        <v/>
      </c>
      <c r="L59" s="586"/>
      <c r="M59" s="587" t="str">
        <f>IF(VLOOKUP($A59,'Pre-Assessment Estimator'!$A$10:$Z$224,M$2,FALSE)=0,"",VLOOKUP($A59,'Pre-Assessment Estimator'!$A$10:$Z$224,M$2,FALSE))</f>
        <v/>
      </c>
      <c r="N59" s="582">
        <f>VLOOKUP($A59,'Pre-Assessment Estimator'!$A$10:$Z$224,N$2,FALSE)</f>
        <v>0</v>
      </c>
      <c r="O59" s="581" t="str">
        <f>VLOOKUP($A59,'Pre-Assessment Estimator'!$A$10:$Z$224,O$2,FALSE)</f>
        <v>N/A</v>
      </c>
      <c r="P59" s="584" t="str">
        <f>IF(VLOOKUP($A59,'Pre-Assessment Estimator'!$A$10:$Z$224,P$2,FALSE)=0,"",VLOOKUP($A59,'Pre-Assessment Estimator'!$A$10:$Z$224,P$2,FALSE))</f>
        <v/>
      </c>
      <c r="Q59" s="584" t="str">
        <f>IF(VLOOKUP($A59,'Pre-Assessment Estimator'!$A$10:$Z$224,Q$2,FALSE)=0,"",VLOOKUP($A59,'Pre-Assessment Estimator'!$A$10:$Z$224,Q$2,FALSE))</f>
        <v/>
      </c>
      <c r="R59" s="585" t="str">
        <f>IF(VLOOKUP($A59,'Pre-Assessment Estimator'!$A$10:$Z$224,R$2,FALSE)=0,"",VLOOKUP($A59,'Pre-Assessment Estimator'!$A$10:$Z$224,R$2,FALSE))</f>
        <v/>
      </c>
      <c r="S59" s="588"/>
      <c r="T59" s="587" t="str">
        <f>IF(VLOOKUP($A59,'Pre-Assessment Estimator'!$A$10:$Z$224,T$2,FALSE)=0,"",VLOOKUP($A59,'Pre-Assessment Estimator'!$A$10:$Z$224,T$2,FALSE))</f>
        <v/>
      </c>
      <c r="U59" s="582">
        <f>VLOOKUP($A59,'Pre-Assessment Estimator'!$A$10:$Z$224,U$2,FALSE)</f>
        <v>0</v>
      </c>
      <c r="V59" s="581" t="str">
        <f>VLOOKUP($A59,'Pre-Assessment Estimator'!$A$10:$Z$224,V$2,FALSE)</f>
        <v>N/A</v>
      </c>
      <c r="W59" s="584" t="str">
        <f>IF(VLOOKUP($A59,'Pre-Assessment Estimator'!$A$10:$Z$224,W$2,FALSE)=0,"",VLOOKUP($A59,'Pre-Assessment Estimator'!$A$10:$Z$224,W$2,FALSE))</f>
        <v/>
      </c>
      <c r="X59" s="584" t="str">
        <f>IF(VLOOKUP($A59,'Pre-Assessment Estimator'!$A$10:$Z$224,X$2,FALSE)=0,"",VLOOKUP($A59,'Pre-Assessment Estimator'!$A$10:$Z$224,X$2,FALSE))</f>
        <v/>
      </c>
      <c r="Y59" s="370" t="str">
        <f>IF(VLOOKUP($A59,'Pre-Assessment Estimator'!$A$10:$Z$224,Y$2,FALSE)=0,"",VLOOKUP($A59,'Pre-Assessment Estimator'!$A$10:$Z$224,Y$2,FALSE))</f>
        <v/>
      </c>
      <c r="Z59" s="705"/>
      <c r="AA59" s="584"/>
      <c r="AE59" s="386">
        <f t="shared" si="0"/>
        <v>1</v>
      </c>
      <c r="AF59" s="95" t="e">
        <f>VLOOKUP(J59,'Assessment Details'!$O$45:$P$48,2,FALSE)</f>
        <v>#N/A</v>
      </c>
      <c r="AG59" s="95" t="e">
        <f>VLOOKUP(Q59,'Assessment Details'!$O$45:$P$48,2,FALSE)</f>
        <v>#N/A</v>
      </c>
      <c r="AH59" s="95" t="e">
        <f>VLOOKUP(X59,'Assessment Details'!$O$45:$P$48,2,FALSE)</f>
        <v>#N/A</v>
      </c>
      <c r="AP59" s="386"/>
      <c r="AQ59" s="386"/>
      <c r="AR59" s="386"/>
    </row>
    <row r="60" spans="1:44" x14ac:dyDescent="0.25">
      <c r="A60" s="836">
        <v>51</v>
      </c>
      <c r="B60" s="1262"/>
      <c r="C60" s="1262"/>
      <c r="D60" s="993" t="str">
        <f>VLOOKUP($A60,'Pre-Assessment Estimator'!$A$10:$Z$224,D$2,FALSE)</f>
        <v>Hea 08 Private space</v>
      </c>
      <c r="E60" s="581">
        <f>VLOOKUP($A60,'Pre-Assessment Estimator'!$A$10:$Z$224,E$2,FALSE)</f>
        <v>0</v>
      </c>
      <c r="F60" s="587" t="str">
        <f>IF(VLOOKUP($A60,'Pre-Assessment Estimator'!$A$10:$Z$224,F$2,FALSE)=0,"",VLOOKUP($A60,'Pre-Assessment Estimator'!$A$10:$Z$224,F$2,FALSE))</f>
        <v/>
      </c>
      <c r="G60" s="1239" t="str">
        <f>VLOOKUP($A60,'Pre-Assessment Estimator'!$A$10:$Z$224,G$2,FALSE)</f>
        <v>0 c. 0 %</v>
      </c>
      <c r="H60" s="583" t="str">
        <f>VLOOKUP($A60,'Pre-Assessment Estimator'!$A$10:$Z$224,H$2,FALSE)</f>
        <v>N/A</v>
      </c>
      <c r="I60" s="584" t="str">
        <f>IF(VLOOKUP($A60,'Pre-Assessment Estimator'!$A$10:$Z$224,I$2,FALSE)=0,"",VLOOKUP($A60,'Pre-Assessment Estimator'!$A$10:$Z$224,I$2,FALSE))</f>
        <v/>
      </c>
      <c r="J60" s="584" t="str">
        <f>IF(VLOOKUP($A60,'Pre-Assessment Estimator'!$A$10:$Z$224,J$2,FALSE)=0,"",VLOOKUP($A60,'Pre-Assessment Estimator'!$A$10:$Z$224,J$2,FALSE))</f>
        <v/>
      </c>
      <c r="K60" s="585" t="str">
        <f>IF(VLOOKUP($A60,'Pre-Assessment Estimator'!$A$10:$Z$224,K$2,FALSE)=0,"",VLOOKUP($A60,'Pre-Assessment Estimator'!$A$10:$Z$224,K$2,FALSE))</f>
        <v/>
      </c>
      <c r="L60" s="586"/>
      <c r="M60" s="587" t="str">
        <f>IF(VLOOKUP($A60,'Pre-Assessment Estimator'!$A$10:$Z$224,M$2,FALSE)=0,"",VLOOKUP($A60,'Pre-Assessment Estimator'!$A$10:$Z$224,M$2,FALSE))</f>
        <v/>
      </c>
      <c r="N60" s="582" t="str">
        <f>VLOOKUP($A60,'Pre-Assessment Estimator'!$A$10:$Z$224,N$2,FALSE)</f>
        <v>0 c. 0 %</v>
      </c>
      <c r="O60" s="581" t="str">
        <f>VLOOKUP($A60,'Pre-Assessment Estimator'!$A$10:$Z$224,O$2,FALSE)</f>
        <v>N/A</v>
      </c>
      <c r="P60" s="584" t="str">
        <f>IF(VLOOKUP($A60,'Pre-Assessment Estimator'!$A$10:$Z$224,P$2,FALSE)=0,"",VLOOKUP($A60,'Pre-Assessment Estimator'!$A$10:$Z$224,P$2,FALSE))</f>
        <v/>
      </c>
      <c r="Q60" s="584" t="str">
        <f>IF(VLOOKUP($A60,'Pre-Assessment Estimator'!$A$10:$Z$224,Q$2,FALSE)=0,"",VLOOKUP($A60,'Pre-Assessment Estimator'!$A$10:$Z$224,Q$2,FALSE))</f>
        <v/>
      </c>
      <c r="R60" s="585" t="str">
        <f>IF(VLOOKUP($A60,'Pre-Assessment Estimator'!$A$10:$Z$224,R$2,FALSE)=0,"",VLOOKUP($A60,'Pre-Assessment Estimator'!$A$10:$Z$224,R$2,FALSE))</f>
        <v/>
      </c>
      <c r="S60" s="588"/>
      <c r="T60" s="587" t="str">
        <f>IF(VLOOKUP($A60,'Pre-Assessment Estimator'!$A$10:$Z$224,T$2,FALSE)=0,"",VLOOKUP($A60,'Pre-Assessment Estimator'!$A$10:$Z$224,T$2,FALSE))</f>
        <v/>
      </c>
      <c r="U60" s="582" t="str">
        <f>VLOOKUP($A60,'Pre-Assessment Estimator'!$A$10:$Z$224,U$2,FALSE)</f>
        <v>0 c. 0 %</v>
      </c>
      <c r="V60" s="581" t="str">
        <f>VLOOKUP($A60,'Pre-Assessment Estimator'!$A$10:$Z$224,V$2,FALSE)</f>
        <v>N/A</v>
      </c>
      <c r="W60" s="584" t="str">
        <f>IF(VLOOKUP($A60,'Pre-Assessment Estimator'!$A$10:$Z$224,W$2,FALSE)=0,"",VLOOKUP($A60,'Pre-Assessment Estimator'!$A$10:$Z$224,W$2,FALSE))</f>
        <v/>
      </c>
      <c r="X60" s="584" t="str">
        <f>IF(VLOOKUP($A60,'Pre-Assessment Estimator'!$A$10:$Z$224,X$2,FALSE)=0,"",VLOOKUP($A60,'Pre-Assessment Estimator'!$A$10:$Z$224,X$2,FALSE))</f>
        <v/>
      </c>
      <c r="Y60" s="370" t="str">
        <f>IF(VLOOKUP($A60,'Pre-Assessment Estimator'!$A$10:$Z$224,Y$2,FALSE)=0,"",VLOOKUP($A60,'Pre-Assessment Estimator'!$A$10:$Z$224,Y$2,FALSE))</f>
        <v/>
      </c>
      <c r="Z60" s="705"/>
      <c r="AA60" s="584"/>
      <c r="AE60" s="386">
        <f t="shared" si="0"/>
        <v>2</v>
      </c>
      <c r="AF60" s="95" t="e">
        <f>VLOOKUP(J60,'Assessment Details'!$O$45:$P$48,2,FALSE)</f>
        <v>#N/A</v>
      </c>
      <c r="AG60" s="95" t="e">
        <f>VLOOKUP(Q60,'Assessment Details'!$O$45:$P$48,2,FALSE)</f>
        <v>#N/A</v>
      </c>
      <c r="AH60" s="95" t="e">
        <f>VLOOKUP(X60,'Assessment Details'!$O$45:$P$48,2,FALSE)</f>
        <v>#N/A</v>
      </c>
      <c r="AP60" s="386"/>
      <c r="AQ60" s="386"/>
      <c r="AR60" s="386"/>
    </row>
    <row r="61" spans="1:44" x14ac:dyDescent="0.25">
      <c r="A61" s="836">
        <v>52</v>
      </c>
      <c r="B61" s="1262"/>
      <c r="C61" s="1262"/>
      <c r="D61" s="340" t="str">
        <f>VLOOKUP($A61,'Pre-Assessment Estimator'!$A$10:$Z$224,D$2,FALSE)</f>
        <v xml:space="preserve">Private outdoor spaces </v>
      </c>
      <c r="E61" s="581">
        <f>VLOOKUP($A61,'Pre-Assessment Estimator'!$A$10:$Z$224,E$2,FALSE)</f>
        <v>0</v>
      </c>
      <c r="F61" s="587" t="str">
        <f>IF(VLOOKUP($A61,'Pre-Assessment Estimator'!$A$10:$Z$224,F$2,FALSE)=0,"",VLOOKUP($A61,'Pre-Assessment Estimator'!$A$10:$Z$224,F$2,FALSE))</f>
        <v/>
      </c>
      <c r="G61" s="1239">
        <f>VLOOKUP($A61,'Pre-Assessment Estimator'!$A$10:$Z$224,G$2,FALSE)</f>
        <v>0</v>
      </c>
      <c r="H61" s="583" t="str">
        <f>VLOOKUP($A61,'Pre-Assessment Estimator'!$A$10:$Z$224,H$2,FALSE)</f>
        <v>N/A</v>
      </c>
      <c r="I61" s="584" t="str">
        <f>IF(VLOOKUP($A61,'Pre-Assessment Estimator'!$A$10:$Z$224,I$2,FALSE)=0,"",VLOOKUP($A61,'Pre-Assessment Estimator'!$A$10:$Z$224,I$2,FALSE))</f>
        <v/>
      </c>
      <c r="J61" s="584" t="str">
        <f>IF(VLOOKUP($A61,'Pre-Assessment Estimator'!$A$10:$Z$224,J$2,FALSE)=0,"",VLOOKUP($A61,'Pre-Assessment Estimator'!$A$10:$Z$224,J$2,FALSE))</f>
        <v/>
      </c>
      <c r="K61" s="585" t="str">
        <f>IF(VLOOKUP($A61,'Pre-Assessment Estimator'!$A$10:$Z$224,K$2,FALSE)=0,"",VLOOKUP($A61,'Pre-Assessment Estimator'!$A$10:$Z$224,K$2,FALSE))</f>
        <v/>
      </c>
      <c r="L61" s="586"/>
      <c r="M61" s="587" t="str">
        <f>IF(VLOOKUP($A61,'Pre-Assessment Estimator'!$A$10:$Z$224,M$2,FALSE)=0,"",VLOOKUP($A61,'Pre-Assessment Estimator'!$A$10:$Z$224,M$2,FALSE))</f>
        <v/>
      </c>
      <c r="N61" s="582">
        <f>VLOOKUP($A61,'Pre-Assessment Estimator'!$A$10:$Z$224,N$2,FALSE)</f>
        <v>0</v>
      </c>
      <c r="O61" s="581" t="str">
        <f>VLOOKUP($A61,'Pre-Assessment Estimator'!$A$10:$Z$224,O$2,FALSE)</f>
        <v>N/A</v>
      </c>
      <c r="P61" s="584" t="str">
        <f>IF(VLOOKUP($A61,'Pre-Assessment Estimator'!$A$10:$Z$224,P$2,FALSE)=0,"",VLOOKUP($A61,'Pre-Assessment Estimator'!$A$10:$Z$224,P$2,FALSE))</f>
        <v/>
      </c>
      <c r="Q61" s="584" t="str">
        <f>IF(VLOOKUP($A61,'Pre-Assessment Estimator'!$A$10:$Z$224,Q$2,FALSE)=0,"",VLOOKUP($A61,'Pre-Assessment Estimator'!$A$10:$Z$224,Q$2,FALSE))</f>
        <v/>
      </c>
      <c r="R61" s="585" t="str">
        <f>IF(VLOOKUP($A61,'Pre-Assessment Estimator'!$A$10:$Z$224,R$2,FALSE)=0,"",VLOOKUP($A61,'Pre-Assessment Estimator'!$A$10:$Z$224,R$2,FALSE))</f>
        <v/>
      </c>
      <c r="S61" s="588"/>
      <c r="T61" s="587" t="str">
        <f>IF(VLOOKUP($A61,'Pre-Assessment Estimator'!$A$10:$Z$224,T$2,FALSE)=0,"",VLOOKUP($A61,'Pre-Assessment Estimator'!$A$10:$Z$224,T$2,FALSE))</f>
        <v/>
      </c>
      <c r="U61" s="582">
        <f>VLOOKUP($A61,'Pre-Assessment Estimator'!$A$10:$Z$224,U$2,FALSE)</f>
        <v>0</v>
      </c>
      <c r="V61" s="581" t="str">
        <f>VLOOKUP($A61,'Pre-Assessment Estimator'!$A$10:$Z$224,V$2,FALSE)</f>
        <v>N/A</v>
      </c>
      <c r="W61" s="584" t="str">
        <f>IF(VLOOKUP($A61,'Pre-Assessment Estimator'!$A$10:$Z$224,W$2,FALSE)=0,"",VLOOKUP($A61,'Pre-Assessment Estimator'!$A$10:$Z$224,W$2,FALSE))</f>
        <v/>
      </c>
      <c r="X61" s="584" t="str">
        <f>IF(VLOOKUP($A61,'Pre-Assessment Estimator'!$A$10:$Z$224,X$2,FALSE)=0,"",VLOOKUP($A61,'Pre-Assessment Estimator'!$A$10:$Z$224,X$2,FALSE))</f>
        <v/>
      </c>
      <c r="Y61" s="370" t="str">
        <f>IF(VLOOKUP($A61,'Pre-Assessment Estimator'!$A$10:$Z$224,Y$2,FALSE)=0,"",VLOOKUP($A61,'Pre-Assessment Estimator'!$A$10:$Z$224,Y$2,FALSE))</f>
        <v/>
      </c>
      <c r="Z61" s="705"/>
      <c r="AA61" s="584"/>
      <c r="AE61" s="386">
        <f t="shared" si="0"/>
        <v>2</v>
      </c>
      <c r="AF61" s="95" t="e">
        <f>VLOOKUP(J61,'Assessment Details'!$O$45:$P$48,2,FALSE)</f>
        <v>#N/A</v>
      </c>
      <c r="AG61" s="95" t="e">
        <f>VLOOKUP(Q61,'Assessment Details'!$O$45:$P$48,2,FALSE)</f>
        <v>#N/A</v>
      </c>
      <c r="AH61" s="95" t="e">
        <f>VLOOKUP(X61,'Assessment Details'!$O$45:$P$48,2,FALSE)</f>
        <v>#N/A</v>
      </c>
      <c r="AP61" s="386"/>
      <c r="AQ61" s="386"/>
      <c r="AR61" s="386"/>
    </row>
    <row r="62" spans="1:44" ht="30.75" thickBot="1" x14ac:dyDescent="0.3">
      <c r="A62" s="836">
        <v>53</v>
      </c>
      <c r="B62" s="1262" t="s">
        <v>67</v>
      </c>
      <c r="C62" s="1262"/>
      <c r="D62" s="341" t="str">
        <f>VLOOKUP($A62,'Pre-Assessment Estimator'!$A$10:$Z$224,D$2,FALSE)</f>
        <v>Total performance health &amp; wellbeing</v>
      </c>
      <c r="E62" s="589">
        <f>VLOOKUP($A62,'Pre-Assessment Estimator'!$A$10:$Z$224,E$2,FALSE)</f>
        <v>19</v>
      </c>
      <c r="F62" s="591" t="str">
        <f>IF(VLOOKUP($A62,'Pre-Assessment Estimator'!$A$10:$Z$224,F$2,FALSE)=0,"",VLOOKUP($A62,'Pre-Assessment Estimator'!$A$10:$Z$224,F$2,FALSE))</f>
        <v/>
      </c>
      <c r="G62" s="590">
        <f>VLOOKUP($A62,'Pre-Assessment Estimator'!$A$10:$Z$224,G$2,FALSE)</f>
        <v>0</v>
      </c>
      <c r="H62" s="589" t="str">
        <f>VLOOKUP($A62,'Pre-Assessment Estimator'!$A$10:$Z$224,H$2,FALSE)</f>
        <v>Credits achieved: 0</v>
      </c>
      <c r="I62" s="1220" t="str">
        <f>IF(VLOOKUP($A62,'Pre-Assessment Estimator'!$A$10:$Z$224,I$2,FALSE)=0,"",VLOOKUP($A62,'Pre-Assessment Estimator'!$A$10:$Z$224,I$2,FALSE))</f>
        <v/>
      </c>
      <c r="J62" s="1220" t="str">
        <f>IF(VLOOKUP($A62,'Pre-Assessment Estimator'!$A$10:$Z$224,J$2,FALSE)=0,"",VLOOKUP($A62,'Pre-Assessment Estimator'!$A$10:$Z$224,J$2,FALSE))</f>
        <v/>
      </c>
      <c r="K62" s="1240" t="str">
        <f>IF(VLOOKUP($A62,'Pre-Assessment Estimator'!$A$10:$Z$224,K$2,FALSE)=0,"",VLOOKUP($A62,'Pre-Assessment Estimator'!$A$10:$Z$224,K$2,FALSE))</f>
        <v/>
      </c>
      <c r="L62" s="1241"/>
      <c r="M62" s="591" t="str">
        <f>IF(VLOOKUP($A62,'Pre-Assessment Estimator'!$A$10:$Z$224,M$2,FALSE)=0,"",VLOOKUP($A62,'Pre-Assessment Estimator'!$A$10:$Z$224,M$2,FALSE))</f>
        <v/>
      </c>
      <c r="N62" s="590">
        <f>VLOOKUP($A62,'Pre-Assessment Estimator'!$A$10:$Z$224,N$2,FALSE)</f>
        <v>0</v>
      </c>
      <c r="O62" s="589" t="str">
        <f>VLOOKUP($A62,'Pre-Assessment Estimator'!$A$10:$Z$224,O$2,FALSE)</f>
        <v>Credits achieved: 0</v>
      </c>
      <c r="P62" s="1220" t="str">
        <f>IF(VLOOKUP($A62,'Pre-Assessment Estimator'!$A$10:$Z$224,P$2,FALSE)=0,"",VLOOKUP($A62,'Pre-Assessment Estimator'!$A$10:$Z$224,P$2,FALSE))</f>
        <v/>
      </c>
      <c r="Q62" s="1220" t="str">
        <f>IF(VLOOKUP($A62,'Pre-Assessment Estimator'!$A$10:$Z$224,Q$2,FALSE)=0,"",VLOOKUP($A62,'Pre-Assessment Estimator'!$A$10:$Z$224,Q$2,FALSE))</f>
        <v/>
      </c>
      <c r="R62" s="1240" t="str">
        <f>IF(VLOOKUP($A62,'Pre-Assessment Estimator'!$A$10:$Z$224,R$2,FALSE)=0,"",VLOOKUP($A62,'Pre-Assessment Estimator'!$A$10:$Z$224,R$2,FALSE))</f>
        <v/>
      </c>
      <c r="S62" s="1242"/>
      <c r="T62" s="591" t="str">
        <f>IF(VLOOKUP($A62,'Pre-Assessment Estimator'!$A$10:$Z$224,T$2,FALSE)=0,"",VLOOKUP($A62,'Pre-Assessment Estimator'!$A$10:$Z$224,T$2,FALSE))</f>
        <v/>
      </c>
      <c r="U62" s="590">
        <f>VLOOKUP($A62,'Pre-Assessment Estimator'!$A$10:$Z$224,U$2,FALSE)</f>
        <v>0</v>
      </c>
      <c r="V62" s="589" t="str">
        <f>VLOOKUP($A62,'Pre-Assessment Estimator'!$A$10:$Z$224,V$2,FALSE)</f>
        <v>Credits achieved: 0</v>
      </c>
      <c r="W62" s="1220" t="str">
        <f>IF(VLOOKUP($A62,'Pre-Assessment Estimator'!$A$10:$Z$224,W$2,FALSE)=0,"",VLOOKUP($A62,'Pre-Assessment Estimator'!$A$10:$Z$224,W$2,FALSE))</f>
        <v/>
      </c>
      <c r="X62" s="1220" t="str">
        <f>IF(VLOOKUP($A62,'Pre-Assessment Estimator'!$A$10:$Z$224,X$2,FALSE)=0,"",VLOOKUP($A62,'Pre-Assessment Estimator'!$A$10:$Z$224,X$2,FALSE))</f>
        <v/>
      </c>
      <c r="Y62" s="1243" t="str">
        <f>IF(VLOOKUP($A62,'Pre-Assessment Estimator'!$A$10:$Z$224,Y$2,FALSE)=0,"",VLOOKUP($A62,'Pre-Assessment Estimator'!$A$10:$Z$224,Y$2,FALSE))</f>
        <v/>
      </c>
      <c r="Z62" s="705"/>
      <c r="AA62" s="584" t="str">
        <f>IF(VLOOKUP($A62,'Pre-Assessment Estimator'!$A$10:$AB$224,AA$2,FALSE)=0,"",VLOOKUP($A62,'Pre-Assessment Estimator'!$A$10:$AB$224,AA$2,FALSE))</f>
        <v/>
      </c>
      <c r="AE62" s="386">
        <f t="shared" si="0"/>
        <v>1</v>
      </c>
      <c r="AF62" s="276">
        <v>0</v>
      </c>
      <c r="AG62" s="276">
        <v>0</v>
      </c>
      <c r="AH62" s="276">
        <v>0</v>
      </c>
    </row>
    <row r="63" spans="1:44" x14ac:dyDescent="0.25">
      <c r="A63" s="836">
        <v>54</v>
      </c>
      <c r="B63" s="1262" t="s">
        <v>67</v>
      </c>
      <c r="C63" s="1262"/>
      <c r="D63" s="592"/>
      <c r="E63" s="593"/>
      <c r="F63" s="593"/>
      <c r="G63" s="593"/>
      <c r="H63" s="593"/>
      <c r="I63" s="592"/>
      <c r="J63" s="593"/>
      <c r="K63" s="592"/>
      <c r="L63" s="586"/>
      <c r="M63" s="593"/>
      <c r="N63" s="593"/>
      <c r="O63" s="593"/>
      <c r="P63" s="592"/>
      <c r="Q63" s="593"/>
      <c r="R63" s="592"/>
      <c r="S63" s="588"/>
      <c r="T63" s="593"/>
      <c r="U63" s="593"/>
      <c r="V63" s="593"/>
      <c r="W63" s="592"/>
      <c r="X63" s="593"/>
      <c r="Y63" s="343"/>
      <c r="Z63" s="706"/>
      <c r="AA63" s="592"/>
      <c r="AB63" s="389"/>
      <c r="AC63" s="389"/>
      <c r="AD63" s="389"/>
      <c r="AE63" s="386">
        <f t="shared" si="0"/>
        <v>1</v>
      </c>
      <c r="AF63" s="278">
        <v>0</v>
      </c>
      <c r="AG63" s="278">
        <v>0</v>
      </c>
      <c r="AH63" s="278">
        <v>0</v>
      </c>
    </row>
    <row r="64" spans="1:44" ht="18.75" x14ac:dyDescent="0.25">
      <c r="A64" s="836">
        <v>55</v>
      </c>
      <c r="B64" s="1262" t="s">
        <v>68</v>
      </c>
      <c r="C64" s="1262"/>
      <c r="D64" s="594" t="s">
        <v>68</v>
      </c>
      <c r="E64" s="577"/>
      <c r="F64" s="577"/>
      <c r="G64" s="577"/>
      <c r="H64" s="577"/>
      <c r="I64" s="578" t="str">
        <f>IF(VLOOKUP($A64,'Pre-Assessment Estimator'!$A$10:$Z$224,I$2,FALSE)=0,"",VLOOKUP($A64,'Pre-Assessment Estimator'!$A$10:$Z$224,I$2,FALSE))</f>
        <v/>
      </c>
      <c r="J64" s="577" t="str">
        <f>IF(VLOOKUP($A64,'Pre-Assessment Estimator'!$A$10:$Z$224,J$2,FALSE)=0,"",VLOOKUP($A64,'Pre-Assessment Estimator'!$A$10:$Z$224,J$2,FALSE))</f>
        <v/>
      </c>
      <c r="K64" s="578" t="str">
        <f>IF(VLOOKUP($A64,'Pre-Assessment Estimator'!$A$10:$Z$224,K$2,FALSE)=0,"",VLOOKUP($A64,'Pre-Assessment Estimator'!$A$10:$Z$224,K$2,FALSE))</f>
        <v/>
      </c>
      <c r="L64" s="586"/>
      <c r="M64" s="577" t="str">
        <f>IF(VLOOKUP($A64,'Pre-Assessment Estimator'!$A$10:$Z$224,M$2,FALSE)=0,"",VLOOKUP($A64,'Pre-Assessment Estimator'!$A$10:$Z$224,M$2,FALSE))</f>
        <v/>
      </c>
      <c r="N64" s="577"/>
      <c r="O64" s="577"/>
      <c r="P64" s="578" t="str">
        <f>IF(VLOOKUP($A64,'Pre-Assessment Estimator'!$A$10:$Z$224,P$2,FALSE)=0,"",VLOOKUP($A64,'Pre-Assessment Estimator'!$A$10:$Z$224,P$2,FALSE))</f>
        <v/>
      </c>
      <c r="Q64" s="577" t="str">
        <f>IF(VLOOKUP($A64,'Pre-Assessment Estimator'!$A$10:$Z$224,Q$2,FALSE)=0,"",VLOOKUP($A64,'Pre-Assessment Estimator'!$A$10:$Z$224,Q$2,FALSE))</f>
        <v/>
      </c>
      <c r="R64" s="578" t="str">
        <f>IF(VLOOKUP($A64,'Pre-Assessment Estimator'!$A$10:$Z$224,R$2,FALSE)=0,"",VLOOKUP($A64,'Pre-Assessment Estimator'!$A$10:$Z$224,R$2,FALSE))</f>
        <v/>
      </c>
      <c r="S64" s="588"/>
      <c r="T64" s="577" t="str">
        <f>IF(VLOOKUP($A64,'Pre-Assessment Estimator'!$A$10:$Z$224,T$2,FALSE)=0,"",VLOOKUP($A64,'Pre-Assessment Estimator'!$A$10:$Z$224,T$2,FALSE))</f>
        <v/>
      </c>
      <c r="U64" s="577"/>
      <c r="V64" s="577"/>
      <c r="W64" s="578" t="str">
        <f>IF(VLOOKUP($A64,'Pre-Assessment Estimator'!$A$10:$Z$224,W$2,FALSE)=0,"",VLOOKUP($A64,'Pre-Assessment Estimator'!$A$10:$Z$224,W$2,FALSE))</f>
        <v/>
      </c>
      <c r="X64" s="577" t="str">
        <f>IF(VLOOKUP($A64,'Pre-Assessment Estimator'!$A$10:$Z$224,X$2,FALSE)=0,"",VLOOKUP($A64,'Pre-Assessment Estimator'!$A$10:$Z$224,X$2,FALSE))</f>
        <v/>
      </c>
      <c r="Y64" s="411" t="str">
        <f>IF(VLOOKUP($A64,'Pre-Assessment Estimator'!$A$10:$Z$224,Y$2,FALSE)=0,"",VLOOKUP($A64,'Pre-Assessment Estimator'!$A$10:$Z$224,Y$2,FALSE))</f>
        <v/>
      </c>
      <c r="Z64" s="704"/>
      <c r="AA64" s="708"/>
      <c r="AE64" s="386">
        <f t="shared" si="0"/>
        <v>1</v>
      </c>
      <c r="AF64" s="275">
        <v>0</v>
      </c>
      <c r="AG64" s="275">
        <v>0</v>
      </c>
      <c r="AH64" s="275">
        <v>0</v>
      </c>
    </row>
    <row r="65" spans="1:34" x14ac:dyDescent="0.25">
      <c r="A65" s="836">
        <v>56</v>
      </c>
      <c r="B65" s="1262" t="s">
        <v>68</v>
      </c>
      <c r="C65" s="1262"/>
      <c r="D65" s="993" t="str">
        <f>VLOOKUP($A65,'Pre-Assessment Estimator'!$A$10:$Z$224,D$2,FALSE)</f>
        <v>Ene 01 Energy efficiency</v>
      </c>
      <c r="E65" s="581">
        <f>VLOOKUP($A65,'Pre-Assessment Estimator'!$A$10:$Z$224,E$2,FALSE)</f>
        <v>12</v>
      </c>
      <c r="F65" s="587" t="str">
        <f>IF(VLOOKUP($A65,'Pre-Assessment Estimator'!$A$10:$Z$224,F$2,FALSE)=0,"",VLOOKUP($A65,'Pre-Assessment Estimator'!$A$10:$Z$224,F$2,FALSE))</f>
        <v/>
      </c>
      <c r="G65" s="1239" t="str">
        <f>VLOOKUP($A65,'Pre-Assessment Estimator'!$A$10:$Z$224,G$2,FALSE)</f>
        <v>0 c. 0 %</v>
      </c>
      <c r="H65" s="583" t="str">
        <f>VLOOKUP($A65,'Pre-Assessment Estimator'!$A$10:$Z$224,H$2,FALSE)</f>
        <v>N/A</v>
      </c>
      <c r="I65" s="584" t="str">
        <f>IF(VLOOKUP($A65,'Pre-Assessment Estimator'!$A$10:$Z$224,I$2,FALSE)=0,"",VLOOKUP($A65,'Pre-Assessment Estimator'!$A$10:$Z$224,I$2,FALSE))</f>
        <v/>
      </c>
      <c r="J65" s="584" t="str">
        <f>IF(VLOOKUP($A65,'Pre-Assessment Estimator'!$A$10:$Z$224,J$2,FALSE)=0,"",VLOOKUP($A65,'Pre-Assessment Estimator'!$A$10:$Z$224,J$2,FALSE))</f>
        <v/>
      </c>
      <c r="K65" s="585" t="str">
        <f>IF(VLOOKUP($A65,'Pre-Assessment Estimator'!$A$10:$Z$224,K$2,FALSE)=0,"",VLOOKUP($A65,'Pre-Assessment Estimator'!$A$10:$Z$224,K$2,FALSE))</f>
        <v/>
      </c>
      <c r="L65" s="586"/>
      <c r="M65" s="587" t="str">
        <f>IF(VLOOKUP($A65,'Pre-Assessment Estimator'!$A$10:$Z$224,M$2,FALSE)=0,"",VLOOKUP($A65,'Pre-Assessment Estimator'!$A$10:$Z$224,M$2,FALSE))</f>
        <v/>
      </c>
      <c r="N65" s="582" t="str">
        <f>VLOOKUP($A65,'Pre-Assessment Estimator'!$A$10:$Z$224,N$2,FALSE)</f>
        <v>0 c. 0 %</v>
      </c>
      <c r="O65" s="581" t="str">
        <f>VLOOKUP($A65,'Pre-Assessment Estimator'!$A$10:$Z$224,O$2,FALSE)</f>
        <v>N/A</v>
      </c>
      <c r="P65" s="584" t="str">
        <f>IF(VLOOKUP($A65,'Pre-Assessment Estimator'!$A$10:$Z$224,P$2,FALSE)=0,"",VLOOKUP($A65,'Pre-Assessment Estimator'!$A$10:$Z$224,P$2,FALSE))</f>
        <v/>
      </c>
      <c r="Q65" s="584" t="str">
        <f>IF(VLOOKUP($A65,'Pre-Assessment Estimator'!$A$10:$Z$224,Q$2,FALSE)=0,"",VLOOKUP($A65,'Pre-Assessment Estimator'!$A$10:$Z$224,Q$2,FALSE))</f>
        <v/>
      </c>
      <c r="R65" s="585" t="str">
        <f>IF(VLOOKUP($A65,'Pre-Assessment Estimator'!$A$10:$Z$224,R$2,FALSE)=0,"",VLOOKUP($A65,'Pre-Assessment Estimator'!$A$10:$Z$224,R$2,FALSE))</f>
        <v/>
      </c>
      <c r="S65" s="588"/>
      <c r="T65" s="587" t="str">
        <f>IF(VLOOKUP($A65,'Pre-Assessment Estimator'!$A$10:$Z$224,T$2,FALSE)=0,"",VLOOKUP($A65,'Pre-Assessment Estimator'!$A$10:$Z$224,T$2,FALSE))</f>
        <v/>
      </c>
      <c r="U65" s="582" t="str">
        <f>VLOOKUP($A65,'Pre-Assessment Estimator'!$A$10:$Z$224,U$2,FALSE)</f>
        <v>0 c. 0 %</v>
      </c>
      <c r="V65" s="581" t="str">
        <f>VLOOKUP($A65,'Pre-Assessment Estimator'!$A$10:$Z$224,V$2,FALSE)</f>
        <v>N/A</v>
      </c>
      <c r="W65" s="584" t="str">
        <f>IF(VLOOKUP($A65,'Pre-Assessment Estimator'!$A$10:$Z$224,W$2,FALSE)=0,"",VLOOKUP($A65,'Pre-Assessment Estimator'!$A$10:$Z$224,W$2,FALSE))</f>
        <v/>
      </c>
      <c r="X65" s="584" t="str">
        <f>IF(VLOOKUP($A65,'Pre-Assessment Estimator'!$A$10:$Z$224,X$2,FALSE)=0,"",VLOOKUP($A65,'Pre-Assessment Estimator'!$A$10:$Z$224,X$2,FALSE))</f>
        <v/>
      </c>
      <c r="Y65" s="370" t="str">
        <f>IF(VLOOKUP($A65,'Pre-Assessment Estimator'!$A$10:$Z$224,Y$2,FALSE)=0,"",VLOOKUP($A65,'Pre-Assessment Estimator'!$A$10:$Z$224,Y$2,FALSE))</f>
        <v/>
      </c>
      <c r="Z65" s="705"/>
      <c r="AA65" s="584" t="str">
        <f>IF(VLOOKUP($A65,'Pre-Assessment Estimator'!$A$10:$AB$224,AA$2,FALSE)=0,"",VLOOKUP($A65,'Pre-Assessment Estimator'!$A$10:$AB$224,AA$2,FALSE))</f>
        <v/>
      </c>
      <c r="AE65" s="386">
        <f t="shared" si="0"/>
        <v>1</v>
      </c>
      <c r="AF65" s="95" t="e">
        <f>VLOOKUP(J65,'Assessment Details'!$O$45:$P$48,2,FALSE)</f>
        <v>#N/A</v>
      </c>
      <c r="AG65" s="95" t="e">
        <f>VLOOKUP(Q65,'Assessment Details'!$O$45:$P$48,2,FALSE)</f>
        <v>#N/A</v>
      </c>
      <c r="AH65" s="95" t="e">
        <f>VLOOKUP(X65,'Assessment Details'!$O$45:$P$48,2,FALSE)</f>
        <v>#N/A</v>
      </c>
    </row>
    <row r="66" spans="1:34" x14ac:dyDescent="0.25">
      <c r="A66" s="836">
        <v>57</v>
      </c>
      <c r="B66" s="1262" t="s">
        <v>68</v>
      </c>
      <c r="C66" s="1262"/>
      <c r="D66" s="340" t="str">
        <f>VLOOKUP($A66,'Pre-Assessment Estimator'!$A$10:$Z$224,D$2,FALSE)</f>
        <v xml:space="preserve">Passive design </v>
      </c>
      <c r="E66" s="581">
        <f>VLOOKUP($A66,'Pre-Assessment Estimator'!$A$10:$Z$224,E$2,FALSE)</f>
        <v>2</v>
      </c>
      <c r="F66" s="587" t="str">
        <f>IF(VLOOKUP($A66,'Pre-Assessment Estimator'!$A$10:$Z$224,F$2,FALSE)=0,"",VLOOKUP($A66,'Pre-Assessment Estimator'!$A$10:$Z$224,F$2,FALSE))</f>
        <v/>
      </c>
      <c r="G66" s="1239">
        <f>VLOOKUP($A66,'Pre-Assessment Estimator'!$A$10:$Z$224,G$2,FALSE)</f>
        <v>0</v>
      </c>
      <c r="H66" s="583" t="str">
        <f>VLOOKUP($A66,'Pre-Assessment Estimator'!$A$10:$Z$224,H$2,FALSE)</f>
        <v>N/A</v>
      </c>
      <c r="I66" s="584" t="str">
        <f>IF(VLOOKUP($A66,'Pre-Assessment Estimator'!$A$10:$Z$224,I$2,FALSE)=0,"",VLOOKUP($A66,'Pre-Assessment Estimator'!$A$10:$Z$224,I$2,FALSE))</f>
        <v/>
      </c>
      <c r="J66" s="584" t="str">
        <f>IF(VLOOKUP($A66,'Pre-Assessment Estimator'!$A$10:$Z$224,J$2,FALSE)=0,"",VLOOKUP($A66,'Pre-Assessment Estimator'!$A$10:$Z$224,J$2,FALSE))</f>
        <v/>
      </c>
      <c r="K66" s="585" t="str">
        <f>IF(VLOOKUP($A66,'Pre-Assessment Estimator'!$A$10:$Z$224,K$2,FALSE)=0,"",VLOOKUP($A66,'Pre-Assessment Estimator'!$A$10:$Z$224,K$2,FALSE))</f>
        <v/>
      </c>
      <c r="L66" s="586"/>
      <c r="M66" s="587" t="str">
        <f>IF(VLOOKUP($A66,'Pre-Assessment Estimator'!$A$10:$Z$224,M$2,FALSE)=0,"",VLOOKUP($A66,'Pre-Assessment Estimator'!$A$10:$Z$224,M$2,FALSE))</f>
        <v/>
      </c>
      <c r="N66" s="582">
        <f>VLOOKUP($A66,'Pre-Assessment Estimator'!$A$10:$Z$224,N$2,FALSE)</f>
        <v>0</v>
      </c>
      <c r="O66" s="581" t="str">
        <f>VLOOKUP($A66,'Pre-Assessment Estimator'!$A$10:$Z$224,O$2,FALSE)</f>
        <v>N/A</v>
      </c>
      <c r="P66" s="584" t="str">
        <f>IF(VLOOKUP($A66,'Pre-Assessment Estimator'!$A$10:$Z$224,P$2,FALSE)=0,"",VLOOKUP($A66,'Pre-Assessment Estimator'!$A$10:$Z$224,P$2,FALSE))</f>
        <v/>
      </c>
      <c r="Q66" s="584" t="str">
        <f>IF(VLOOKUP($A66,'Pre-Assessment Estimator'!$A$10:$Z$224,Q$2,FALSE)=0,"",VLOOKUP($A66,'Pre-Assessment Estimator'!$A$10:$Z$224,Q$2,FALSE))</f>
        <v/>
      </c>
      <c r="R66" s="585" t="str">
        <f>IF(VLOOKUP($A66,'Pre-Assessment Estimator'!$A$10:$Z$224,R$2,FALSE)=0,"",VLOOKUP($A66,'Pre-Assessment Estimator'!$A$10:$Z$224,R$2,FALSE))</f>
        <v/>
      </c>
      <c r="S66" s="588"/>
      <c r="T66" s="587" t="str">
        <f>IF(VLOOKUP($A66,'Pre-Assessment Estimator'!$A$10:$Z$224,T$2,FALSE)=0,"",VLOOKUP($A66,'Pre-Assessment Estimator'!$A$10:$Z$224,T$2,FALSE))</f>
        <v/>
      </c>
      <c r="U66" s="582">
        <f>VLOOKUP($A66,'Pre-Assessment Estimator'!$A$10:$Z$224,U$2,FALSE)</f>
        <v>0</v>
      </c>
      <c r="V66" s="581" t="str">
        <f>VLOOKUP($A66,'Pre-Assessment Estimator'!$A$10:$Z$224,V$2,FALSE)</f>
        <v>N/A</v>
      </c>
      <c r="W66" s="584" t="str">
        <f>IF(VLOOKUP($A66,'Pre-Assessment Estimator'!$A$10:$Z$224,W$2,FALSE)=0,"",VLOOKUP($A66,'Pre-Assessment Estimator'!$A$10:$Z$224,W$2,FALSE))</f>
        <v/>
      </c>
      <c r="X66" s="584" t="str">
        <f>IF(VLOOKUP($A66,'Pre-Assessment Estimator'!$A$10:$Z$224,X$2,FALSE)=0,"",VLOOKUP($A66,'Pre-Assessment Estimator'!$A$10:$Z$224,X$2,FALSE))</f>
        <v/>
      </c>
      <c r="Y66" s="370" t="str">
        <f>IF(VLOOKUP($A66,'Pre-Assessment Estimator'!$A$10:$Z$224,Y$2,FALSE)=0,"",VLOOKUP($A66,'Pre-Assessment Estimator'!$A$10:$Z$224,Y$2,FALSE))</f>
        <v/>
      </c>
      <c r="Z66" s="705"/>
      <c r="AA66" s="584" t="str">
        <f>IF(VLOOKUP($A66,'Pre-Assessment Estimator'!$A$10:$AB$224,AA$2,FALSE)=0,"",VLOOKUP($A66,'Pre-Assessment Estimator'!$A$10:$AB$224,AA$2,FALSE))</f>
        <v/>
      </c>
      <c r="AE66" s="386">
        <f t="shared" si="0"/>
        <v>1</v>
      </c>
      <c r="AF66" s="95" t="e">
        <f>VLOOKUP(J66,'Assessment Details'!$O$45:$P$48,2,FALSE)</f>
        <v>#N/A</v>
      </c>
      <c r="AG66" s="95" t="e">
        <f>VLOOKUP(Q66,'Assessment Details'!$O$45:$P$48,2,FALSE)</f>
        <v>#N/A</v>
      </c>
      <c r="AH66" s="95" t="e">
        <f>VLOOKUP(X66,'Assessment Details'!$O$45:$P$48,2,FALSE)</f>
        <v>#N/A</v>
      </c>
    </row>
    <row r="67" spans="1:34" x14ac:dyDescent="0.25">
      <c r="A67" s="836">
        <v>58</v>
      </c>
      <c r="B67" s="1262" t="s">
        <v>68</v>
      </c>
      <c r="C67" s="1262"/>
      <c r="D67" s="340" t="str">
        <f>VLOOKUP($A67,'Pre-Assessment Estimator'!$A$10:$Z$224,D$2,FALSE)</f>
        <v xml:space="preserve">Low and zero carbon technologies </v>
      </c>
      <c r="E67" s="581">
        <f>VLOOKUP($A67,'Pre-Assessment Estimator'!$A$10:$Z$224,E$2,FALSE)</f>
        <v>1</v>
      </c>
      <c r="F67" s="587" t="str">
        <f>IF(VLOOKUP($A67,'Pre-Assessment Estimator'!$A$10:$Z$224,F$2,FALSE)=0,"",VLOOKUP($A67,'Pre-Assessment Estimator'!$A$10:$Z$224,F$2,FALSE))</f>
        <v/>
      </c>
      <c r="G67" s="1239">
        <f>VLOOKUP($A67,'Pre-Assessment Estimator'!$A$10:$Z$224,G$2,FALSE)</f>
        <v>0</v>
      </c>
      <c r="H67" s="583" t="str">
        <f>VLOOKUP($A67,'Pre-Assessment Estimator'!$A$10:$Z$224,H$2,FALSE)</f>
        <v>N/A</v>
      </c>
      <c r="I67" s="584" t="str">
        <f>IF(VLOOKUP($A67,'Pre-Assessment Estimator'!$A$10:$Z$224,I$2,FALSE)=0,"",VLOOKUP($A67,'Pre-Assessment Estimator'!$A$10:$Z$224,I$2,FALSE))</f>
        <v/>
      </c>
      <c r="J67" s="584" t="str">
        <f>IF(VLOOKUP($A67,'Pre-Assessment Estimator'!$A$10:$Z$224,J$2,FALSE)=0,"",VLOOKUP($A67,'Pre-Assessment Estimator'!$A$10:$Z$224,J$2,FALSE))</f>
        <v/>
      </c>
      <c r="K67" s="585" t="str">
        <f>IF(VLOOKUP($A67,'Pre-Assessment Estimator'!$A$10:$Z$224,K$2,FALSE)=0,"",VLOOKUP($A67,'Pre-Assessment Estimator'!$A$10:$Z$224,K$2,FALSE))</f>
        <v/>
      </c>
      <c r="L67" s="586"/>
      <c r="M67" s="587" t="str">
        <f>IF(VLOOKUP($A67,'Pre-Assessment Estimator'!$A$10:$Z$224,M$2,FALSE)=0,"",VLOOKUP($A67,'Pre-Assessment Estimator'!$A$10:$Z$224,M$2,FALSE))</f>
        <v/>
      </c>
      <c r="N67" s="582">
        <f>VLOOKUP($A67,'Pre-Assessment Estimator'!$A$10:$Z$224,N$2,FALSE)</f>
        <v>0</v>
      </c>
      <c r="O67" s="581" t="str">
        <f>VLOOKUP($A67,'Pre-Assessment Estimator'!$A$10:$Z$224,O$2,FALSE)</f>
        <v>N/A</v>
      </c>
      <c r="P67" s="584" t="str">
        <f>IF(VLOOKUP($A67,'Pre-Assessment Estimator'!$A$10:$Z$224,P$2,FALSE)=0,"",VLOOKUP($A67,'Pre-Assessment Estimator'!$A$10:$Z$224,P$2,FALSE))</f>
        <v/>
      </c>
      <c r="Q67" s="584" t="str">
        <f>IF(VLOOKUP($A67,'Pre-Assessment Estimator'!$A$10:$Z$224,Q$2,FALSE)=0,"",VLOOKUP($A67,'Pre-Assessment Estimator'!$A$10:$Z$224,Q$2,FALSE))</f>
        <v/>
      </c>
      <c r="R67" s="585" t="str">
        <f>IF(VLOOKUP($A67,'Pre-Assessment Estimator'!$A$10:$Z$224,R$2,FALSE)=0,"",VLOOKUP($A67,'Pre-Assessment Estimator'!$A$10:$Z$224,R$2,FALSE))</f>
        <v/>
      </c>
      <c r="S67" s="588"/>
      <c r="T67" s="587" t="str">
        <f>IF(VLOOKUP($A67,'Pre-Assessment Estimator'!$A$10:$Z$224,T$2,FALSE)=0,"",VLOOKUP($A67,'Pre-Assessment Estimator'!$A$10:$Z$224,T$2,FALSE))</f>
        <v/>
      </c>
      <c r="U67" s="582">
        <f>VLOOKUP($A67,'Pre-Assessment Estimator'!$A$10:$Z$224,U$2,FALSE)</f>
        <v>0</v>
      </c>
      <c r="V67" s="581" t="str">
        <f>VLOOKUP($A67,'Pre-Assessment Estimator'!$A$10:$Z$224,V$2,FALSE)</f>
        <v>N/A</v>
      </c>
      <c r="W67" s="584" t="str">
        <f>IF(VLOOKUP($A67,'Pre-Assessment Estimator'!$A$10:$Z$224,W$2,FALSE)=0,"",VLOOKUP($A67,'Pre-Assessment Estimator'!$A$10:$Z$224,W$2,FALSE))</f>
        <v/>
      </c>
      <c r="X67" s="584" t="str">
        <f>IF(VLOOKUP($A67,'Pre-Assessment Estimator'!$A$10:$Z$224,X$2,FALSE)=0,"",VLOOKUP($A67,'Pre-Assessment Estimator'!$A$10:$Z$224,X$2,FALSE))</f>
        <v/>
      </c>
      <c r="Y67" s="370" t="str">
        <f>IF(VLOOKUP($A67,'Pre-Assessment Estimator'!$A$10:$Z$224,Y$2,FALSE)=0,"",VLOOKUP($A67,'Pre-Assessment Estimator'!$A$10:$Z$224,Y$2,FALSE))</f>
        <v/>
      </c>
      <c r="Z67" s="705"/>
      <c r="AA67" s="584" t="str">
        <f>IF(VLOOKUP($A67,'Pre-Assessment Estimator'!$A$10:$AB$224,AA$2,FALSE)=0,"",VLOOKUP($A67,'Pre-Assessment Estimator'!$A$10:$AB$224,AA$2,FALSE))</f>
        <v/>
      </c>
      <c r="AE67" s="386">
        <f t="shared" si="0"/>
        <v>1</v>
      </c>
      <c r="AF67" s="95" t="e">
        <f>VLOOKUP(J67,'Assessment Details'!$O$45:$P$48,2,FALSE)</f>
        <v>#N/A</v>
      </c>
      <c r="AG67" s="95" t="e">
        <f>VLOOKUP(Q67,'Assessment Details'!$O$45:$P$48,2,FALSE)</f>
        <v>#N/A</v>
      </c>
      <c r="AH67" s="95" t="e">
        <f>VLOOKUP(X67,'Assessment Details'!$O$45:$P$48,2,FALSE)</f>
        <v>#N/A</v>
      </c>
    </row>
    <row r="68" spans="1:34" x14ac:dyDescent="0.25">
      <c r="A68" s="836">
        <v>59</v>
      </c>
      <c r="B68" s="1262"/>
      <c r="C68" s="1262"/>
      <c r="D68" s="340" t="str">
        <f>VLOOKUP($A68,'Pre-Assessment Estimator'!$A$10:$Z$224,D$2,FALSE)</f>
        <v xml:space="preserve">Energy performance </v>
      </c>
      <c r="E68" s="581">
        <f>VLOOKUP($A68,'Pre-Assessment Estimator'!$A$10:$Z$224,E$2,FALSE)</f>
        <v>4</v>
      </c>
      <c r="F68" s="587" t="str">
        <f>IF(VLOOKUP($A68,'Pre-Assessment Estimator'!$A$10:$Z$224,F$2,FALSE)=0,"",VLOOKUP($A68,'Pre-Assessment Estimator'!$A$10:$Z$224,F$2,FALSE))</f>
        <v/>
      </c>
      <c r="G68" s="1239">
        <f>VLOOKUP($A68,'Pre-Assessment Estimator'!$A$10:$Z$224,G$2,FALSE)</f>
        <v>0</v>
      </c>
      <c r="H68" s="583" t="str">
        <f>VLOOKUP($A68,'Pre-Assessment Estimator'!$A$10:$Z$224,H$2,FALSE)</f>
        <v>Very Good</v>
      </c>
      <c r="I68" s="584" t="str">
        <f>IF(VLOOKUP($A68,'Pre-Assessment Estimator'!$A$10:$Z$224,I$2,FALSE)=0,"",VLOOKUP($A68,'Pre-Assessment Estimator'!$A$10:$Z$224,I$2,FALSE))</f>
        <v/>
      </c>
      <c r="J68" s="584" t="str">
        <f>IF(VLOOKUP($A68,'Pre-Assessment Estimator'!$A$10:$Z$224,J$2,FALSE)=0,"",VLOOKUP($A68,'Pre-Assessment Estimator'!$A$10:$Z$224,J$2,FALSE))</f>
        <v/>
      </c>
      <c r="K68" s="585" t="str">
        <f>IF(VLOOKUP($A68,'Pre-Assessment Estimator'!$A$10:$Z$224,K$2,FALSE)=0,"",VLOOKUP($A68,'Pre-Assessment Estimator'!$A$10:$Z$224,K$2,FALSE))</f>
        <v/>
      </c>
      <c r="L68" s="586"/>
      <c r="M68" s="587" t="str">
        <f>IF(VLOOKUP($A68,'Pre-Assessment Estimator'!$A$10:$Z$224,M$2,FALSE)=0,"",VLOOKUP($A68,'Pre-Assessment Estimator'!$A$10:$Z$224,M$2,FALSE))</f>
        <v/>
      </c>
      <c r="N68" s="582">
        <f>VLOOKUP($A68,'Pre-Assessment Estimator'!$A$10:$Z$224,N$2,FALSE)</f>
        <v>0</v>
      </c>
      <c r="O68" s="581" t="str">
        <f>VLOOKUP($A68,'Pre-Assessment Estimator'!$A$10:$Z$224,O$2,FALSE)</f>
        <v>Very Good</v>
      </c>
      <c r="P68" s="584" t="str">
        <f>IF(VLOOKUP($A68,'Pre-Assessment Estimator'!$A$10:$Z$224,P$2,FALSE)=0,"",VLOOKUP($A68,'Pre-Assessment Estimator'!$A$10:$Z$224,P$2,FALSE))</f>
        <v/>
      </c>
      <c r="Q68" s="584" t="str">
        <f>IF(VLOOKUP($A68,'Pre-Assessment Estimator'!$A$10:$Z$224,Q$2,FALSE)=0,"",VLOOKUP($A68,'Pre-Assessment Estimator'!$A$10:$Z$224,Q$2,FALSE))</f>
        <v/>
      </c>
      <c r="R68" s="585" t="str">
        <f>IF(VLOOKUP($A68,'Pre-Assessment Estimator'!$A$10:$Z$224,R$2,FALSE)=0,"",VLOOKUP($A68,'Pre-Assessment Estimator'!$A$10:$Z$224,R$2,FALSE))</f>
        <v/>
      </c>
      <c r="S68" s="588"/>
      <c r="T68" s="587" t="str">
        <f>IF(VLOOKUP($A68,'Pre-Assessment Estimator'!$A$10:$Z$224,T$2,FALSE)=0,"",VLOOKUP($A68,'Pre-Assessment Estimator'!$A$10:$Z$224,T$2,FALSE))</f>
        <v/>
      </c>
      <c r="U68" s="582">
        <f>VLOOKUP($A68,'Pre-Assessment Estimator'!$A$10:$Z$224,U$2,FALSE)</f>
        <v>0</v>
      </c>
      <c r="V68" s="581" t="str">
        <f>VLOOKUP($A68,'Pre-Assessment Estimator'!$A$10:$Z$224,V$2,FALSE)</f>
        <v>Very Good</v>
      </c>
      <c r="W68" s="584" t="str">
        <f>IF(VLOOKUP($A68,'Pre-Assessment Estimator'!$A$10:$Z$224,W$2,FALSE)=0,"",VLOOKUP($A68,'Pre-Assessment Estimator'!$A$10:$Z$224,W$2,FALSE))</f>
        <v/>
      </c>
      <c r="X68" s="584" t="str">
        <f>IF(VLOOKUP($A68,'Pre-Assessment Estimator'!$A$10:$Z$224,X$2,FALSE)=0,"",VLOOKUP($A68,'Pre-Assessment Estimator'!$A$10:$Z$224,X$2,FALSE))</f>
        <v/>
      </c>
      <c r="Y68" s="370" t="str">
        <f>IF(VLOOKUP($A68,'Pre-Assessment Estimator'!$A$10:$Z$224,Y$2,FALSE)=0,"",VLOOKUP($A68,'Pre-Assessment Estimator'!$A$10:$Z$224,Y$2,FALSE))</f>
        <v/>
      </c>
      <c r="Z68" s="705"/>
      <c r="AA68" s="584"/>
      <c r="AE68" s="386">
        <f t="shared" si="0"/>
        <v>1</v>
      </c>
      <c r="AF68" s="95" t="e">
        <f>VLOOKUP(J68,'Assessment Details'!$O$45:$P$48,2,FALSE)</f>
        <v>#N/A</v>
      </c>
      <c r="AG68" s="95" t="e">
        <f>VLOOKUP(Q68,'Assessment Details'!$O$45:$P$48,2,FALSE)</f>
        <v>#N/A</v>
      </c>
      <c r="AH68" s="95" t="e">
        <f>VLOOKUP(X68,'Assessment Details'!$O$45:$P$48,2,FALSE)</f>
        <v>#N/A</v>
      </c>
    </row>
    <row r="69" spans="1:34" x14ac:dyDescent="0.25">
      <c r="A69" s="836">
        <v>60</v>
      </c>
      <c r="B69" s="1262"/>
      <c r="C69" s="1262"/>
      <c r="D69" s="340" t="str">
        <f>VLOOKUP($A69,'Pre-Assessment Estimator'!$A$10:$Z$224,D$2,FALSE)</f>
        <v>EU taxonomy requirement: criterion 10</v>
      </c>
      <c r="E69" s="581" t="str">
        <f>VLOOKUP($A69,'Pre-Assessment Estimator'!$A$10:$Z$224,E$2,FALSE)</f>
        <v>Yes/No</v>
      </c>
      <c r="F69" s="587" t="str">
        <f>IF(VLOOKUP($A69,'Pre-Assessment Estimator'!$A$10:$Z$224,F$2,FALSE)=0,"",VLOOKUP($A69,'Pre-Assessment Estimator'!$A$10:$Z$224,F$2,FALSE))</f>
        <v/>
      </c>
      <c r="G69" s="1239" t="str">
        <f>VLOOKUP($A69,'Pre-Assessment Estimator'!$A$10:$Z$224,G$2,FALSE)</f>
        <v>-</v>
      </c>
      <c r="H69" s="583" t="str">
        <f>VLOOKUP($A69,'Pre-Assessment Estimator'!$A$10:$Z$224,H$2,FALSE)</f>
        <v>N/A</v>
      </c>
      <c r="I69" s="584" t="str">
        <f>IF(VLOOKUP($A69,'Pre-Assessment Estimator'!$A$10:$Z$224,I$2,FALSE)=0,"",VLOOKUP($A69,'Pre-Assessment Estimator'!$A$10:$Z$224,I$2,FALSE))</f>
        <v/>
      </c>
      <c r="J69" s="584" t="str">
        <f>IF(VLOOKUP($A69,'Pre-Assessment Estimator'!$A$10:$Z$224,J$2,FALSE)=0,"",VLOOKUP($A69,'Pre-Assessment Estimator'!$A$10:$Z$224,J$2,FALSE))</f>
        <v/>
      </c>
      <c r="K69" s="585" t="str">
        <f>IF(VLOOKUP($A69,'Pre-Assessment Estimator'!$A$10:$Z$224,K$2,FALSE)=0,"",VLOOKUP($A69,'Pre-Assessment Estimator'!$A$10:$Z$224,K$2,FALSE))</f>
        <v/>
      </c>
      <c r="L69" s="586"/>
      <c r="M69" s="587" t="str">
        <f>IF(VLOOKUP($A69,'Pre-Assessment Estimator'!$A$10:$Z$224,M$2,FALSE)=0,"",VLOOKUP($A69,'Pre-Assessment Estimator'!$A$10:$Z$224,M$2,FALSE))</f>
        <v/>
      </c>
      <c r="N69" s="582" t="str">
        <f>VLOOKUP($A69,'Pre-Assessment Estimator'!$A$10:$Z$224,N$2,FALSE)</f>
        <v>-</v>
      </c>
      <c r="O69" s="581" t="str">
        <f>VLOOKUP($A69,'Pre-Assessment Estimator'!$A$10:$Z$224,O$2,FALSE)</f>
        <v>N/A</v>
      </c>
      <c r="P69" s="584" t="str">
        <f>IF(VLOOKUP($A69,'Pre-Assessment Estimator'!$A$10:$Z$224,P$2,FALSE)=0,"",VLOOKUP($A69,'Pre-Assessment Estimator'!$A$10:$Z$224,P$2,FALSE))</f>
        <v/>
      </c>
      <c r="Q69" s="584" t="str">
        <f>IF(VLOOKUP($A69,'Pre-Assessment Estimator'!$A$10:$Z$224,Q$2,FALSE)=0,"",VLOOKUP($A69,'Pre-Assessment Estimator'!$A$10:$Z$224,Q$2,FALSE))</f>
        <v xml:space="preserve"> </v>
      </c>
      <c r="R69" s="585" t="str">
        <f>IF(VLOOKUP($A69,'Pre-Assessment Estimator'!$A$10:$Z$224,R$2,FALSE)=0,"",VLOOKUP($A69,'Pre-Assessment Estimator'!$A$10:$Z$224,R$2,FALSE))</f>
        <v/>
      </c>
      <c r="S69" s="588"/>
      <c r="T69" s="587" t="str">
        <f>IF(VLOOKUP($A69,'Pre-Assessment Estimator'!$A$10:$Z$224,T$2,FALSE)=0,"",VLOOKUP($A69,'Pre-Assessment Estimator'!$A$10:$Z$224,T$2,FALSE))</f>
        <v/>
      </c>
      <c r="U69" s="582" t="str">
        <f>VLOOKUP($A69,'Pre-Assessment Estimator'!$A$10:$Z$224,U$2,FALSE)</f>
        <v>-</v>
      </c>
      <c r="V69" s="581" t="str">
        <f>VLOOKUP($A69,'Pre-Assessment Estimator'!$A$10:$Z$224,V$2,FALSE)</f>
        <v>N/A</v>
      </c>
      <c r="W69" s="584" t="str">
        <f>IF(VLOOKUP($A69,'Pre-Assessment Estimator'!$A$10:$Z$224,W$2,FALSE)=0,"",VLOOKUP($A69,'Pre-Assessment Estimator'!$A$10:$Z$224,W$2,FALSE))</f>
        <v/>
      </c>
      <c r="X69" s="584" t="str">
        <f>IF(VLOOKUP($A69,'Pre-Assessment Estimator'!$A$10:$Z$224,X$2,FALSE)=0,"",VLOOKUP($A69,'Pre-Assessment Estimator'!$A$10:$Z$224,X$2,FALSE))</f>
        <v/>
      </c>
      <c r="Y69" s="370" t="str">
        <f>IF(VLOOKUP($A69,'Pre-Assessment Estimator'!$A$10:$Z$224,Y$2,FALSE)=0,"",VLOOKUP($A69,'Pre-Assessment Estimator'!$A$10:$Z$224,Y$2,FALSE))</f>
        <v/>
      </c>
      <c r="Z69" s="705"/>
      <c r="AA69" s="584"/>
      <c r="AE69" s="386">
        <f t="shared" si="0"/>
        <v>1</v>
      </c>
      <c r="AF69" s="95" t="e">
        <f>VLOOKUP(J69,'Assessment Details'!$O$45:$P$48,2,FALSE)</f>
        <v>#N/A</v>
      </c>
      <c r="AG69" s="95">
        <f>VLOOKUP(Q69,'Assessment Details'!$O$45:$P$48,2,FALSE)</f>
        <v>4</v>
      </c>
      <c r="AH69" s="95" t="e">
        <f>VLOOKUP(X69,'Assessment Details'!$O$45:$P$48,2,FALSE)</f>
        <v>#N/A</v>
      </c>
    </row>
    <row r="70" spans="1:34" x14ac:dyDescent="0.25">
      <c r="A70" s="836">
        <v>61</v>
      </c>
      <c r="B70" s="1262"/>
      <c r="C70" s="1262"/>
      <c r="D70" s="340" t="str">
        <f>VLOOKUP($A70,'Pre-Assessment Estimator'!$A$10:$Z$224,D$2,FALSE)</f>
        <v xml:space="preserve">Adaptation to EU taxonomy </v>
      </c>
      <c r="E70" s="581">
        <f>VLOOKUP($A70,'Pre-Assessment Estimator'!$A$10:$Z$224,E$2,FALSE)</f>
        <v>1</v>
      </c>
      <c r="F70" s="587" t="str">
        <f>IF(VLOOKUP($A70,'Pre-Assessment Estimator'!$A$10:$Z$224,F$2,FALSE)=0,"",VLOOKUP($A70,'Pre-Assessment Estimator'!$A$10:$Z$224,F$2,FALSE))</f>
        <v/>
      </c>
      <c r="G70" s="1239">
        <f>VLOOKUP($A70,'Pre-Assessment Estimator'!$A$10:$Z$224,G$2,FALSE)</f>
        <v>0</v>
      </c>
      <c r="H70" s="583" t="str">
        <f>VLOOKUP($A70,'Pre-Assessment Estimator'!$A$10:$Z$224,H$2,FALSE)</f>
        <v>Very Good</v>
      </c>
      <c r="I70" s="584" t="str">
        <f>IF(VLOOKUP($A70,'Pre-Assessment Estimator'!$A$10:$Z$224,I$2,FALSE)=0,"",VLOOKUP($A70,'Pre-Assessment Estimator'!$A$10:$Z$224,I$2,FALSE))</f>
        <v/>
      </c>
      <c r="J70" s="584" t="str">
        <f>IF(VLOOKUP($A70,'Pre-Assessment Estimator'!$A$10:$Z$224,J$2,FALSE)=0,"",VLOOKUP($A70,'Pre-Assessment Estimator'!$A$10:$Z$224,J$2,FALSE))</f>
        <v/>
      </c>
      <c r="K70" s="585" t="str">
        <f>IF(VLOOKUP($A70,'Pre-Assessment Estimator'!$A$10:$Z$224,K$2,FALSE)=0,"",VLOOKUP($A70,'Pre-Assessment Estimator'!$A$10:$Z$224,K$2,FALSE))</f>
        <v/>
      </c>
      <c r="L70" s="586"/>
      <c r="M70" s="587" t="str">
        <f>IF(VLOOKUP($A70,'Pre-Assessment Estimator'!$A$10:$Z$224,M$2,FALSE)=0,"",VLOOKUP($A70,'Pre-Assessment Estimator'!$A$10:$Z$224,M$2,FALSE))</f>
        <v/>
      </c>
      <c r="N70" s="582">
        <f>VLOOKUP($A70,'Pre-Assessment Estimator'!$A$10:$Z$224,N$2,FALSE)</f>
        <v>0</v>
      </c>
      <c r="O70" s="581" t="str">
        <f>VLOOKUP($A70,'Pre-Assessment Estimator'!$A$10:$Z$224,O$2,FALSE)</f>
        <v>Very Good</v>
      </c>
      <c r="P70" s="584" t="str">
        <f>IF(VLOOKUP($A70,'Pre-Assessment Estimator'!$A$10:$Z$224,P$2,FALSE)=0,"",VLOOKUP($A70,'Pre-Assessment Estimator'!$A$10:$Z$224,P$2,FALSE))</f>
        <v/>
      </c>
      <c r="Q70" s="584" t="str">
        <f>IF(VLOOKUP($A70,'Pre-Assessment Estimator'!$A$10:$Z$224,Q$2,FALSE)=0,"",VLOOKUP($A70,'Pre-Assessment Estimator'!$A$10:$Z$224,Q$2,FALSE))</f>
        <v/>
      </c>
      <c r="R70" s="585" t="str">
        <f>IF(VLOOKUP($A70,'Pre-Assessment Estimator'!$A$10:$Z$224,R$2,FALSE)=0,"",VLOOKUP($A70,'Pre-Assessment Estimator'!$A$10:$Z$224,R$2,FALSE))</f>
        <v/>
      </c>
      <c r="S70" s="588"/>
      <c r="T70" s="587" t="str">
        <f>IF(VLOOKUP($A70,'Pre-Assessment Estimator'!$A$10:$Z$224,T$2,FALSE)=0,"",VLOOKUP($A70,'Pre-Assessment Estimator'!$A$10:$Z$224,T$2,FALSE))</f>
        <v/>
      </c>
      <c r="U70" s="582">
        <f>VLOOKUP($A70,'Pre-Assessment Estimator'!$A$10:$Z$224,U$2,FALSE)</f>
        <v>0</v>
      </c>
      <c r="V70" s="581" t="str">
        <f>VLOOKUP($A70,'Pre-Assessment Estimator'!$A$10:$Z$224,V$2,FALSE)</f>
        <v>Very Good</v>
      </c>
      <c r="W70" s="584" t="str">
        <f>IF(VLOOKUP($A70,'Pre-Assessment Estimator'!$A$10:$Z$224,W$2,FALSE)=0,"",VLOOKUP($A70,'Pre-Assessment Estimator'!$A$10:$Z$224,W$2,FALSE))</f>
        <v/>
      </c>
      <c r="X70" s="584" t="str">
        <f>IF(VLOOKUP($A70,'Pre-Assessment Estimator'!$A$10:$Z$224,X$2,FALSE)=0,"",VLOOKUP($A70,'Pre-Assessment Estimator'!$A$10:$Z$224,X$2,FALSE))</f>
        <v/>
      </c>
      <c r="Y70" s="370" t="str">
        <f>IF(VLOOKUP($A70,'Pre-Assessment Estimator'!$A$10:$Z$224,Y$2,FALSE)=0,"",VLOOKUP($A70,'Pre-Assessment Estimator'!$A$10:$Z$224,Y$2,FALSE))</f>
        <v/>
      </c>
      <c r="Z70" s="705"/>
      <c r="AA70" s="584"/>
      <c r="AF70" s="95"/>
      <c r="AG70" s="95"/>
      <c r="AH70" s="95"/>
    </row>
    <row r="71" spans="1:34" x14ac:dyDescent="0.25">
      <c r="A71" s="836">
        <v>62</v>
      </c>
      <c r="B71" s="1262"/>
      <c r="C71" s="1262"/>
      <c r="D71" s="340" t="str">
        <f>VLOOKUP($A71,'Pre-Assessment Estimator'!$A$10:$Z$224,D$2,FALSE)</f>
        <v xml:space="preserve">Prediction of operational energy consumption </v>
      </c>
      <c r="E71" s="581">
        <f>VLOOKUP($A71,'Pre-Assessment Estimator'!$A$10:$Z$224,E$2,FALSE)</f>
        <v>4</v>
      </c>
      <c r="F71" s="587" t="str">
        <f>IF(VLOOKUP($A71,'Pre-Assessment Estimator'!$A$10:$Z$224,F$2,FALSE)=0,"",VLOOKUP($A71,'Pre-Assessment Estimator'!$A$10:$Z$224,F$2,FALSE))</f>
        <v/>
      </c>
      <c r="G71" s="1239">
        <f>VLOOKUP($A71,'Pre-Assessment Estimator'!$A$10:$Z$224,G$2,FALSE)</f>
        <v>0</v>
      </c>
      <c r="H71" s="583" t="str">
        <f>VLOOKUP($A71,'Pre-Assessment Estimator'!$A$10:$Z$224,H$2,FALSE)</f>
        <v>N/A</v>
      </c>
      <c r="I71" s="584" t="str">
        <f>IF(VLOOKUP($A71,'Pre-Assessment Estimator'!$A$10:$Z$224,I$2,FALSE)=0,"",VLOOKUP($A71,'Pre-Assessment Estimator'!$A$10:$Z$224,I$2,FALSE))</f>
        <v/>
      </c>
      <c r="J71" s="584" t="str">
        <f>IF(VLOOKUP($A71,'Pre-Assessment Estimator'!$A$10:$Z$224,J$2,FALSE)=0,"",VLOOKUP($A71,'Pre-Assessment Estimator'!$A$10:$Z$224,J$2,FALSE))</f>
        <v/>
      </c>
      <c r="K71" s="585" t="str">
        <f>IF(VLOOKUP($A71,'Pre-Assessment Estimator'!$A$10:$Z$224,K$2,FALSE)=0,"",VLOOKUP($A71,'Pre-Assessment Estimator'!$A$10:$Z$224,K$2,FALSE))</f>
        <v/>
      </c>
      <c r="L71" s="586"/>
      <c r="M71" s="587" t="str">
        <f>IF(VLOOKUP($A71,'Pre-Assessment Estimator'!$A$10:$Z$224,M$2,FALSE)=0,"",VLOOKUP($A71,'Pre-Assessment Estimator'!$A$10:$Z$224,M$2,FALSE))</f>
        <v/>
      </c>
      <c r="N71" s="582">
        <f>VLOOKUP($A71,'Pre-Assessment Estimator'!$A$10:$Z$224,N$2,FALSE)</f>
        <v>0</v>
      </c>
      <c r="O71" s="581" t="str">
        <f>VLOOKUP($A71,'Pre-Assessment Estimator'!$A$10:$Z$224,O$2,FALSE)</f>
        <v>N/A</v>
      </c>
      <c r="P71" s="584" t="str">
        <f>IF(VLOOKUP($A71,'Pre-Assessment Estimator'!$A$10:$Z$224,P$2,FALSE)=0,"",VLOOKUP($A71,'Pre-Assessment Estimator'!$A$10:$Z$224,P$2,FALSE))</f>
        <v/>
      </c>
      <c r="Q71" s="584" t="str">
        <f>IF(VLOOKUP($A71,'Pre-Assessment Estimator'!$A$10:$Z$224,Q$2,FALSE)=0,"",VLOOKUP($A71,'Pre-Assessment Estimator'!$A$10:$Z$224,Q$2,FALSE))</f>
        <v/>
      </c>
      <c r="R71" s="585" t="str">
        <f>IF(VLOOKUP($A71,'Pre-Assessment Estimator'!$A$10:$Z$224,R$2,FALSE)=0,"",VLOOKUP($A71,'Pre-Assessment Estimator'!$A$10:$Z$224,R$2,FALSE))</f>
        <v/>
      </c>
      <c r="S71" s="588"/>
      <c r="T71" s="587" t="str">
        <f>IF(VLOOKUP($A71,'Pre-Assessment Estimator'!$A$10:$Z$224,T$2,FALSE)=0,"",VLOOKUP($A71,'Pre-Assessment Estimator'!$A$10:$Z$224,T$2,FALSE))</f>
        <v/>
      </c>
      <c r="U71" s="582">
        <f>VLOOKUP($A71,'Pre-Assessment Estimator'!$A$10:$Z$224,U$2,FALSE)</f>
        <v>0</v>
      </c>
      <c r="V71" s="581" t="str">
        <f>VLOOKUP($A71,'Pre-Assessment Estimator'!$A$10:$Z$224,V$2,FALSE)</f>
        <v>N/A</v>
      </c>
      <c r="W71" s="584" t="str">
        <f>IF(VLOOKUP($A71,'Pre-Assessment Estimator'!$A$10:$Z$224,W$2,FALSE)=0,"",VLOOKUP($A71,'Pre-Assessment Estimator'!$A$10:$Z$224,W$2,FALSE))</f>
        <v/>
      </c>
      <c r="X71" s="584" t="str">
        <f>IF(VLOOKUP($A71,'Pre-Assessment Estimator'!$A$10:$Z$224,X$2,FALSE)=0,"",VLOOKUP($A71,'Pre-Assessment Estimator'!$A$10:$Z$224,X$2,FALSE))</f>
        <v/>
      </c>
      <c r="Y71" s="370" t="str">
        <f>IF(VLOOKUP($A71,'Pre-Assessment Estimator'!$A$10:$Z$224,Y$2,FALSE)=0,"",VLOOKUP($A71,'Pre-Assessment Estimator'!$A$10:$Z$224,Y$2,FALSE))</f>
        <v/>
      </c>
      <c r="Z71" s="705"/>
      <c r="AA71" s="584"/>
      <c r="AE71" s="386">
        <f t="shared" si="0"/>
        <v>1</v>
      </c>
      <c r="AF71" s="95" t="e">
        <f>VLOOKUP(J71,'Assessment Details'!$O$45:$P$48,2,FALSE)</f>
        <v>#N/A</v>
      </c>
      <c r="AG71" s="95" t="e">
        <f>VLOOKUP(Q71,'Assessment Details'!$O$45:$P$48,2,FALSE)</f>
        <v>#N/A</v>
      </c>
      <c r="AH71" s="95" t="e">
        <f>VLOOKUP(X71,'Assessment Details'!$O$45:$P$48,2,FALSE)</f>
        <v>#N/A</v>
      </c>
    </row>
    <row r="72" spans="1:34" x14ac:dyDescent="0.25">
      <c r="A72" s="836">
        <v>63</v>
      </c>
      <c r="B72" s="1262"/>
      <c r="C72" s="1262"/>
      <c r="D72" s="993" t="str">
        <f>VLOOKUP($A72,'Pre-Assessment Estimator'!$A$10:$Z$224,D$2,FALSE)</f>
        <v>Ene 02 Energy monitoring</v>
      </c>
      <c r="E72" s="581">
        <f>VLOOKUP($A72,'Pre-Assessment Estimator'!$A$10:$Z$224,E$2,FALSE)</f>
        <v>2</v>
      </c>
      <c r="F72" s="587" t="str">
        <f>IF(VLOOKUP($A72,'Pre-Assessment Estimator'!$A$10:$Z$224,F$2,FALSE)=0,"",VLOOKUP($A72,'Pre-Assessment Estimator'!$A$10:$Z$224,F$2,FALSE))</f>
        <v/>
      </c>
      <c r="G72" s="1239" t="str">
        <f>VLOOKUP($A72,'Pre-Assessment Estimator'!$A$10:$Z$224,G$2,FALSE)</f>
        <v>0 c. 0 %</v>
      </c>
      <c r="H72" s="583" t="str">
        <f>VLOOKUP($A72,'Pre-Assessment Estimator'!$A$10:$Z$224,H$2,FALSE)</f>
        <v>N/A</v>
      </c>
      <c r="I72" s="584" t="str">
        <f>IF(VLOOKUP($A72,'Pre-Assessment Estimator'!$A$10:$Z$224,I$2,FALSE)=0,"",VLOOKUP($A72,'Pre-Assessment Estimator'!$A$10:$Z$224,I$2,FALSE))</f>
        <v/>
      </c>
      <c r="J72" s="584" t="str">
        <f>IF(VLOOKUP($A72,'Pre-Assessment Estimator'!$A$10:$Z$224,J$2,FALSE)=0,"",VLOOKUP($A72,'Pre-Assessment Estimator'!$A$10:$Z$224,J$2,FALSE))</f>
        <v/>
      </c>
      <c r="K72" s="585" t="str">
        <f>IF(VLOOKUP($A72,'Pre-Assessment Estimator'!$A$10:$Z$224,K$2,FALSE)=0,"",VLOOKUP($A72,'Pre-Assessment Estimator'!$A$10:$Z$224,K$2,FALSE))</f>
        <v/>
      </c>
      <c r="L72" s="586"/>
      <c r="M72" s="587" t="str">
        <f>IF(VLOOKUP($A72,'Pre-Assessment Estimator'!$A$10:$Z$224,M$2,FALSE)=0,"",VLOOKUP($A72,'Pre-Assessment Estimator'!$A$10:$Z$224,M$2,FALSE))</f>
        <v/>
      </c>
      <c r="N72" s="582" t="str">
        <f>VLOOKUP($A72,'Pre-Assessment Estimator'!$A$10:$Z$224,N$2,FALSE)</f>
        <v>0 c. 0 %</v>
      </c>
      <c r="O72" s="581" t="str">
        <f>VLOOKUP($A72,'Pre-Assessment Estimator'!$A$10:$Z$224,O$2,FALSE)</f>
        <v>N/A</v>
      </c>
      <c r="P72" s="584" t="str">
        <f>IF(VLOOKUP($A72,'Pre-Assessment Estimator'!$A$10:$Z$224,P$2,FALSE)=0,"",VLOOKUP($A72,'Pre-Assessment Estimator'!$A$10:$Z$224,P$2,FALSE))</f>
        <v/>
      </c>
      <c r="Q72" s="584" t="str">
        <f>IF(VLOOKUP($A72,'Pre-Assessment Estimator'!$A$10:$Z$224,Q$2,FALSE)=0,"",VLOOKUP($A72,'Pre-Assessment Estimator'!$A$10:$Z$224,Q$2,FALSE))</f>
        <v/>
      </c>
      <c r="R72" s="585" t="str">
        <f>IF(VLOOKUP($A72,'Pre-Assessment Estimator'!$A$10:$Z$224,R$2,FALSE)=0,"",VLOOKUP($A72,'Pre-Assessment Estimator'!$A$10:$Z$224,R$2,FALSE))</f>
        <v/>
      </c>
      <c r="S72" s="588"/>
      <c r="T72" s="587" t="str">
        <f>IF(VLOOKUP($A72,'Pre-Assessment Estimator'!$A$10:$Z$224,T$2,FALSE)=0,"",VLOOKUP($A72,'Pre-Assessment Estimator'!$A$10:$Z$224,T$2,FALSE))</f>
        <v/>
      </c>
      <c r="U72" s="582" t="str">
        <f>VLOOKUP($A72,'Pre-Assessment Estimator'!$A$10:$Z$224,U$2,FALSE)</f>
        <v>0 c. 0 %</v>
      </c>
      <c r="V72" s="581" t="str">
        <f>VLOOKUP($A72,'Pre-Assessment Estimator'!$A$10:$Z$224,V$2,FALSE)</f>
        <v>N/A</v>
      </c>
      <c r="W72" s="584" t="str">
        <f>IF(VLOOKUP($A72,'Pre-Assessment Estimator'!$A$10:$Z$224,W$2,FALSE)=0,"",VLOOKUP($A72,'Pre-Assessment Estimator'!$A$10:$Z$224,W$2,FALSE))</f>
        <v/>
      </c>
      <c r="X72" s="584" t="str">
        <f>IF(VLOOKUP($A72,'Pre-Assessment Estimator'!$A$10:$Z$224,X$2,FALSE)=0,"",VLOOKUP($A72,'Pre-Assessment Estimator'!$A$10:$Z$224,X$2,FALSE))</f>
        <v/>
      </c>
      <c r="Y72" s="370" t="str">
        <f>IF(VLOOKUP($A72,'Pre-Assessment Estimator'!$A$10:$Z$224,Y$2,FALSE)=0,"",VLOOKUP($A72,'Pre-Assessment Estimator'!$A$10:$Z$224,Y$2,FALSE))</f>
        <v/>
      </c>
      <c r="Z72" s="705"/>
      <c r="AA72" s="584"/>
      <c r="AE72" s="386">
        <f t="shared" si="0"/>
        <v>1</v>
      </c>
      <c r="AF72" s="95" t="e">
        <f>VLOOKUP(J72,'Assessment Details'!$O$45:$P$48,2,FALSE)</f>
        <v>#N/A</v>
      </c>
      <c r="AG72" s="95" t="e">
        <f>VLOOKUP(Q72,'Assessment Details'!$O$45:$P$48,2,FALSE)</f>
        <v>#N/A</v>
      </c>
      <c r="AH72" s="95" t="e">
        <f>VLOOKUP(X72,'Assessment Details'!$O$45:$P$48,2,FALSE)</f>
        <v>#N/A</v>
      </c>
    </row>
    <row r="73" spans="1:34" x14ac:dyDescent="0.25">
      <c r="A73" s="836">
        <v>64</v>
      </c>
      <c r="B73" s="1262"/>
      <c r="C73" s="1262"/>
      <c r="D73" s="340" t="str">
        <f>VLOOKUP($A73,'Pre-Assessment Estimator'!$A$10:$Z$224,D$2,FALSE)</f>
        <v xml:space="preserve">Sub-metering of end-use categories </v>
      </c>
      <c r="E73" s="581">
        <f>VLOOKUP($A73,'Pre-Assessment Estimator'!$A$10:$Z$224,E$2,FALSE)</f>
        <v>1</v>
      </c>
      <c r="F73" s="587" t="str">
        <f>IF(VLOOKUP($A73,'Pre-Assessment Estimator'!$A$10:$Z$224,F$2,FALSE)=0,"",VLOOKUP($A73,'Pre-Assessment Estimator'!$A$10:$Z$224,F$2,FALSE))</f>
        <v/>
      </c>
      <c r="G73" s="1239">
        <f>VLOOKUP($A73,'Pre-Assessment Estimator'!$A$10:$Z$224,G$2,FALSE)</f>
        <v>0</v>
      </c>
      <c r="H73" s="583" t="str">
        <f>VLOOKUP($A73,'Pre-Assessment Estimator'!$A$10:$Z$224,H$2,FALSE)</f>
        <v>N/A</v>
      </c>
      <c r="I73" s="584" t="str">
        <f>IF(VLOOKUP($A73,'Pre-Assessment Estimator'!$A$10:$Z$224,I$2,FALSE)=0,"",VLOOKUP($A73,'Pre-Assessment Estimator'!$A$10:$Z$224,I$2,FALSE))</f>
        <v/>
      </c>
      <c r="J73" s="584" t="str">
        <f>IF(VLOOKUP($A73,'Pre-Assessment Estimator'!$A$10:$Z$224,J$2,FALSE)=0,"",VLOOKUP($A73,'Pre-Assessment Estimator'!$A$10:$Z$224,J$2,FALSE))</f>
        <v/>
      </c>
      <c r="K73" s="585" t="str">
        <f>IF(VLOOKUP($A73,'Pre-Assessment Estimator'!$A$10:$Z$224,K$2,FALSE)=0,"",VLOOKUP($A73,'Pre-Assessment Estimator'!$A$10:$Z$224,K$2,FALSE))</f>
        <v/>
      </c>
      <c r="L73" s="586"/>
      <c r="M73" s="587" t="str">
        <f>IF(VLOOKUP($A73,'Pre-Assessment Estimator'!$A$10:$Z$224,M$2,FALSE)=0,"",VLOOKUP($A73,'Pre-Assessment Estimator'!$A$10:$Z$224,M$2,FALSE))</f>
        <v/>
      </c>
      <c r="N73" s="582">
        <f>VLOOKUP($A73,'Pre-Assessment Estimator'!$A$10:$Z$224,N$2,FALSE)</f>
        <v>0</v>
      </c>
      <c r="O73" s="581" t="str">
        <f>VLOOKUP($A73,'Pre-Assessment Estimator'!$A$10:$Z$224,O$2,FALSE)</f>
        <v>N/A</v>
      </c>
      <c r="P73" s="584" t="str">
        <f>IF(VLOOKUP($A73,'Pre-Assessment Estimator'!$A$10:$Z$224,P$2,FALSE)=0,"",VLOOKUP($A73,'Pre-Assessment Estimator'!$A$10:$Z$224,P$2,FALSE))</f>
        <v/>
      </c>
      <c r="Q73" s="584" t="str">
        <f>IF(VLOOKUP($A73,'Pre-Assessment Estimator'!$A$10:$Z$224,Q$2,FALSE)=0,"",VLOOKUP($A73,'Pre-Assessment Estimator'!$A$10:$Z$224,Q$2,FALSE))</f>
        <v/>
      </c>
      <c r="R73" s="585" t="str">
        <f>IF(VLOOKUP($A73,'Pre-Assessment Estimator'!$A$10:$Z$224,R$2,FALSE)=0,"",VLOOKUP($A73,'Pre-Assessment Estimator'!$A$10:$Z$224,R$2,FALSE))</f>
        <v/>
      </c>
      <c r="S73" s="588"/>
      <c r="T73" s="587" t="str">
        <f>IF(VLOOKUP($A73,'Pre-Assessment Estimator'!$A$10:$Z$224,T$2,FALSE)=0,"",VLOOKUP($A73,'Pre-Assessment Estimator'!$A$10:$Z$224,T$2,FALSE))</f>
        <v/>
      </c>
      <c r="U73" s="582">
        <f>VLOOKUP($A73,'Pre-Assessment Estimator'!$A$10:$Z$224,U$2,FALSE)</f>
        <v>0</v>
      </c>
      <c r="V73" s="581" t="str">
        <f>VLOOKUP($A73,'Pre-Assessment Estimator'!$A$10:$Z$224,V$2,FALSE)</f>
        <v>N/A</v>
      </c>
      <c r="W73" s="584" t="str">
        <f>IF(VLOOKUP($A73,'Pre-Assessment Estimator'!$A$10:$Z$224,W$2,FALSE)=0,"",VLOOKUP($A73,'Pre-Assessment Estimator'!$A$10:$Z$224,W$2,FALSE))</f>
        <v/>
      </c>
      <c r="X73" s="584" t="str">
        <f>IF(VLOOKUP($A73,'Pre-Assessment Estimator'!$A$10:$Z$224,X$2,FALSE)=0,"",VLOOKUP($A73,'Pre-Assessment Estimator'!$A$10:$Z$224,X$2,FALSE))</f>
        <v/>
      </c>
      <c r="Y73" s="370" t="str">
        <f>IF(VLOOKUP($A73,'Pre-Assessment Estimator'!$A$10:$Z$224,Y$2,FALSE)=0,"",VLOOKUP($A73,'Pre-Assessment Estimator'!$A$10:$Z$224,Y$2,FALSE))</f>
        <v/>
      </c>
      <c r="Z73" s="705"/>
      <c r="AA73" s="584"/>
      <c r="AE73" s="386">
        <f t="shared" si="0"/>
        <v>1</v>
      </c>
      <c r="AF73" s="95" t="e">
        <f>VLOOKUP(J73,'Assessment Details'!$O$45:$P$48,2,FALSE)</f>
        <v>#N/A</v>
      </c>
      <c r="AG73" s="95" t="e">
        <f>VLOOKUP(Q73,'Assessment Details'!$O$45:$P$48,2,FALSE)</f>
        <v>#N/A</v>
      </c>
      <c r="AH73" s="95" t="e">
        <f>VLOOKUP(X73,'Assessment Details'!$O$45:$P$48,2,FALSE)</f>
        <v>#N/A</v>
      </c>
    </row>
    <row r="74" spans="1:34" x14ac:dyDescent="0.25">
      <c r="A74" s="836">
        <v>65</v>
      </c>
      <c r="B74" s="1262"/>
      <c r="C74" s="1262"/>
      <c r="D74" s="340" t="str">
        <f>VLOOKUP($A74,'Pre-Assessment Estimator'!$A$10:$Z$224,D$2,FALSE)</f>
        <v xml:space="preserve">Sub-metering of high energy load and tenancy areas </v>
      </c>
      <c r="E74" s="581">
        <f>VLOOKUP($A74,'Pre-Assessment Estimator'!$A$10:$Z$224,E$2,FALSE)</f>
        <v>1</v>
      </c>
      <c r="F74" s="587" t="str">
        <f>IF(VLOOKUP($A74,'Pre-Assessment Estimator'!$A$10:$Z$224,F$2,FALSE)=0,"",VLOOKUP($A74,'Pre-Assessment Estimator'!$A$10:$Z$224,F$2,FALSE))</f>
        <v/>
      </c>
      <c r="G74" s="1239">
        <f>VLOOKUP($A74,'Pre-Assessment Estimator'!$A$10:$Z$224,G$2,FALSE)</f>
        <v>0</v>
      </c>
      <c r="H74" s="583" t="str">
        <f>VLOOKUP($A74,'Pre-Assessment Estimator'!$A$10:$Z$224,H$2,FALSE)</f>
        <v>N/A</v>
      </c>
      <c r="I74" s="584" t="str">
        <f>IF(VLOOKUP($A74,'Pre-Assessment Estimator'!$A$10:$Z$224,I$2,FALSE)=0,"",VLOOKUP($A74,'Pre-Assessment Estimator'!$A$10:$Z$224,I$2,FALSE))</f>
        <v/>
      </c>
      <c r="J74" s="584" t="str">
        <f>IF(VLOOKUP($A74,'Pre-Assessment Estimator'!$A$10:$Z$224,J$2,FALSE)=0,"",VLOOKUP($A74,'Pre-Assessment Estimator'!$A$10:$Z$224,J$2,FALSE))</f>
        <v/>
      </c>
      <c r="K74" s="585" t="str">
        <f>IF(VLOOKUP($A74,'Pre-Assessment Estimator'!$A$10:$Z$224,K$2,FALSE)=0,"",VLOOKUP($A74,'Pre-Assessment Estimator'!$A$10:$Z$224,K$2,FALSE))</f>
        <v/>
      </c>
      <c r="L74" s="586"/>
      <c r="M74" s="587" t="str">
        <f>IF(VLOOKUP($A74,'Pre-Assessment Estimator'!$A$10:$Z$224,M$2,FALSE)=0,"",VLOOKUP($A74,'Pre-Assessment Estimator'!$A$10:$Z$224,M$2,FALSE))</f>
        <v/>
      </c>
      <c r="N74" s="582">
        <f>VLOOKUP($A74,'Pre-Assessment Estimator'!$A$10:$Z$224,N$2,FALSE)</f>
        <v>0</v>
      </c>
      <c r="O74" s="581" t="str">
        <f>VLOOKUP($A74,'Pre-Assessment Estimator'!$A$10:$Z$224,O$2,FALSE)</f>
        <v>N/A</v>
      </c>
      <c r="P74" s="584" t="str">
        <f>IF(VLOOKUP($A74,'Pre-Assessment Estimator'!$A$10:$Z$224,P$2,FALSE)=0,"",VLOOKUP($A74,'Pre-Assessment Estimator'!$A$10:$Z$224,P$2,FALSE))</f>
        <v/>
      </c>
      <c r="Q74" s="584" t="str">
        <f>IF(VLOOKUP($A74,'Pre-Assessment Estimator'!$A$10:$Z$224,Q$2,FALSE)=0,"",VLOOKUP($A74,'Pre-Assessment Estimator'!$A$10:$Z$224,Q$2,FALSE))</f>
        <v/>
      </c>
      <c r="R74" s="585" t="str">
        <f>IF(VLOOKUP($A74,'Pre-Assessment Estimator'!$A$10:$Z$224,R$2,FALSE)=0,"",VLOOKUP($A74,'Pre-Assessment Estimator'!$A$10:$Z$224,R$2,FALSE))</f>
        <v/>
      </c>
      <c r="S74" s="588"/>
      <c r="T74" s="587" t="str">
        <f>IF(VLOOKUP($A74,'Pre-Assessment Estimator'!$A$10:$Z$224,T$2,FALSE)=0,"",VLOOKUP($A74,'Pre-Assessment Estimator'!$A$10:$Z$224,T$2,FALSE))</f>
        <v/>
      </c>
      <c r="U74" s="582">
        <f>VLOOKUP($A74,'Pre-Assessment Estimator'!$A$10:$Z$224,U$2,FALSE)</f>
        <v>0</v>
      </c>
      <c r="V74" s="581" t="str">
        <f>VLOOKUP($A74,'Pre-Assessment Estimator'!$A$10:$Z$224,V$2,FALSE)</f>
        <v>N/A</v>
      </c>
      <c r="W74" s="584" t="str">
        <f>IF(VLOOKUP($A74,'Pre-Assessment Estimator'!$A$10:$Z$224,W$2,FALSE)=0,"",VLOOKUP($A74,'Pre-Assessment Estimator'!$A$10:$Z$224,W$2,FALSE))</f>
        <v/>
      </c>
      <c r="X74" s="584" t="str">
        <f>IF(VLOOKUP($A74,'Pre-Assessment Estimator'!$A$10:$Z$224,X$2,FALSE)=0,"",VLOOKUP($A74,'Pre-Assessment Estimator'!$A$10:$Z$224,X$2,FALSE))</f>
        <v/>
      </c>
      <c r="Y74" s="370" t="str">
        <f>IF(VLOOKUP($A74,'Pre-Assessment Estimator'!$A$10:$Z$224,Y$2,FALSE)=0,"",VLOOKUP($A74,'Pre-Assessment Estimator'!$A$10:$Z$224,Y$2,FALSE))</f>
        <v/>
      </c>
      <c r="Z74" s="705"/>
      <c r="AA74" s="584"/>
      <c r="AE74" s="386">
        <f t="shared" si="0"/>
        <v>1</v>
      </c>
      <c r="AF74" s="95" t="e">
        <f>VLOOKUP(J74,'Assessment Details'!$O$45:$P$48,2,FALSE)</f>
        <v>#N/A</v>
      </c>
      <c r="AG74" s="95" t="e">
        <f>VLOOKUP(Q74,'Assessment Details'!$O$45:$P$48,2,FALSE)</f>
        <v>#N/A</v>
      </c>
      <c r="AH74" s="95" t="e">
        <f>VLOOKUP(X74,'Assessment Details'!$O$45:$P$48,2,FALSE)</f>
        <v>#N/A</v>
      </c>
    </row>
    <row r="75" spans="1:34" ht="30" x14ac:dyDescent="0.25">
      <c r="A75" s="836">
        <v>66</v>
      </c>
      <c r="B75" s="1262"/>
      <c r="C75" s="1262"/>
      <c r="D75" s="340" t="str">
        <f>VLOOKUP($A75,'Pre-Assessment Estimator'!$A$10:$Z$224,D$2,FALSE)</f>
        <v xml:space="preserve">Sub-metering of energy consumption in residential buildings </v>
      </c>
      <c r="E75" s="581">
        <f>VLOOKUP($A75,'Pre-Assessment Estimator'!$A$10:$Z$224,E$2,FALSE)</f>
        <v>0</v>
      </c>
      <c r="F75" s="587" t="str">
        <f>IF(VLOOKUP($A75,'Pre-Assessment Estimator'!$A$10:$Z$224,F$2,FALSE)=0,"",VLOOKUP($A75,'Pre-Assessment Estimator'!$A$10:$Z$224,F$2,FALSE))</f>
        <v/>
      </c>
      <c r="G75" s="1239">
        <f>VLOOKUP($A75,'Pre-Assessment Estimator'!$A$10:$Z$224,G$2,FALSE)</f>
        <v>0</v>
      </c>
      <c r="H75" s="583" t="str">
        <f>VLOOKUP($A75,'Pre-Assessment Estimator'!$A$10:$Z$224,H$2,FALSE)</f>
        <v>N/A</v>
      </c>
      <c r="I75" s="584" t="str">
        <f>IF(VLOOKUP($A75,'Pre-Assessment Estimator'!$A$10:$Z$224,I$2,FALSE)=0,"",VLOOKUP($A75,'Pre-Assessment Estimator'!$A$10:$Z$224,I$2,FALSE))</f>
        <v/>
      </c>
      <c r="J75" s="584" t="str">
        <f>IF(VLOOKUP($A75,'Pre-Assessment Estimator'!$A$10:$Z$224,J$2,FALSE)=0,"",VLOOKUP($A75,'Pre-Assessment Estimator'!$A$10:$Z$224,J$2,FALSE))</f>
        <v/>
      </c>
      <c r="K75" s="585" t="str">
        <f>IF(VLOOKUP($A75,'Pre-Assessment Estimator'!$A$10:$Z$224,K$2,FALSE)=0,"",VLOOKUP($A75,'Pre-Assessment Estimator'!$A$10:$Z$224,K$2,FALSE))</f>
        <v/>
      </c>
      <c r="L75" s="586"/>
      <c r="M75" s="587" t="str">
        <f>IF(VLOOKUP($A75,'Pre-Assessment Estimator'!$A$10:$Z$224,M$2,FALSE)=0,"",VLOOKUP($A75,'Pre-Assessment Estimator'!$A$10:$Z$224,M$2,FALSE))</f>
        <v/>
      </c>
      <c r="N75" s="582">
        <f>VLOOKUP($A75,'Pre-Assessment Estimator'!$A$10:$Z$224,N$2,FALSE)</f>
        <v>0</v>
      </c>
      <c r="O75" s="581" t="str">
        <f>VLOOKUP($A75,'Pre-Assessment Estimator'!$A$10:$Z$224,O$2,FALSE)</f>
        <v>N/A</v>
      </c>
      <c r="P75" s="584" t="str">
        <f>IF(VLOOKUP($A75,'Pre-Assessment Estimator'!$A$10:$Z$224,P$2,FALSE)=0,"",VLOOKUP($A75,'Pre-Assessment Estimator'!$A$10:$Z$224,P$2,FALSE))</f>
        <v/>
      </c>
      <c r="Q75" s="584" t="str">
        <f>IF(VLOOKUP($A75,'Pre-Assessment Estimator'!$A$10:$Z$224,Q$2,FALSE)=0,"",VLOOKUP($A75,'Pre-Assessment Estimator'!$A$10:$Z$224,Q$2,FALSE))</f>
        <v/>
      </c>
      <c r="R75" s="585" t="str">
        <f>IF(VLOOKUP($A75,'Pre-Assessment Estimator'!$A$10:$Z$224,R$2,FALSE)=0,"",VLOOKUP($A75,'Pre-Assessment Estimator'!$A$10:$Z$224,R$2,FALSE))</f>
        <v/>
      </c>
      <c r="S75" s="588"/>
      <c r="T75" s="587" t="str">
        <f>IF(VLOOKUP($A75,'Pre-Assessment Estimator'!$A$10:$Z$224,T$2,FALSE)=0,"",VLOOKUP($A75,'Pre-Assessment Estimator'!$A$10:$Z$224,T$2,FALSE))</f>
        <v/>
      </c>
      <c r="U75" s="582">
        <f>VLOOKUP($A75,'Pre-Assessment Estimator'!$A$10:$Z$224,U$2,FALSE)</f>
        <v>0</v>
      </c>
      <c r="V75" s="581" t="str">
        <f>VLOOKUP($A75,'Pre-Assessment Estimator'!$A$10:$Z$224,V$2,FALSE)</f>
        <v>N/A</v>
      </c>
      <c r="W75" s="584" t="str">
        <f>IF(VLOOKUP($A75,'Pre-Assessment Estimator'!$A$10:$Z$224,W$2,FALSE)=0,"",VLOOKUP($A75,'Pre-Assessment Estimator'!$A$10:$Z$224,W$2,FALSE))</f>
        <v/>
      </c>
      <c r="X75" s="584" t="str">
        <f>IF(VLOOKUP($A75,'Pre-Assessment Estimator'!$A$10:$Z$224,X$2,FALSE)=0,"",VLOOKUP($A75,'Pre-Assessment Estimator'!$A$10:$Z$224,X$2,FALSE))</f>
        <v/>
      </c>
      <c r="Y75" s="370" t="str">
        <f>IF(VLOOKUP($A75,'Pre-Assessment Estimator'!$A$10:$Z$224,Y$2,FALSE)=0,"",VLOOKUP($A75,'Pre-Assessment Estimator'!$A$10:$Z$224,Y$2,FALSE))</f>
        <v/>
      </c>
      <c r="Z75" s="705"/>
      <c r="AA75" s="584"/>
      <c r="AE75" s="386">
        <f t="shared" si="0"/>
        <v>2</v>
      </c>
      <c r="AF75" s="95" t="e">
        <f>VLOOKUP(J75,'Assessment Details'!$O$45:$P$48,2,FALSE)</f>
        <v>#N/A</v>
      </c>
      <c r="AG75" s="95" t="e">
        <f>VLOOKUP(Q75,'Assessment Details'!$O$45:$P$48,2,FALSE)</f>
        <v>#N/A</v>
      </c>
      <c r="AH75" s="95" t="e">
        <f>VLOOKUP(X75,'Assessment Details'!$O$45:$P$48,2,FALSE)</f>
        <v>#N/A</v>
      </c>
    </row>
    <row r="76" spans="1:34" x14ac:dyDescent="0.25">
      <c r="A76" s="836">
        <v>67</v>
      </c>
      <c r="B76" s="1262"/>
      <c r="C76" s="1262"/>
      <c r="D76" s="993" t="str">
        <f>VLOOKUP($A76,'Pre-Assessment Estimator'!$A$10:$Z$224,D$2,FALSE)</f>
        <v>Ene 03 External lighting</v>
      </c>
      <c r="E76" s="581">
        <f>VLOOKUP($A76,'Pre-Assessment Estimator'!$A$10:$Z$224,E$2,FALSE)</f>
        <v>1</v>
      </c>
      <c r="F76" s="587" t="str">
        <f>IF(VLOOKUP($A76,'Pre-Assessment Estimator'!$A$10:$Z$224,F$2,FALSE)=0,"",VLOOKUP($A76,'Pre-Assessment Estimator'!$A$10:$Z$224,F$2,FALSE))</f>
        <v/>
      </c>
      <c r="G76" s="1239" t="str">
        <f>VLOOKUP($A76,'Pre-Assessment Estimator'!$A$10:$Z$224,G$2,FALSE)</f>
        <v>0 c. 0 %</v>
      </c>
      <c r="H76" s="583" t="str">
        <f>VLOOKUP($A76,'Pre-Assessment Estimator'!$A$10:$Z$224,H$2,FALSE)</f>
        <v>N/A</v>
      </c>
      <c r="I76" s="584" t="str">
        <f>IF(VLOOKUP($A76,'Pre-Assessment Estimator'!$A$10:$Z$224,I$2,FALSE)=0,"",VLOOKUP($A76,'Pre-Assessment Estimator'!$A$10:$Z$224,I$2,FALSE))</f>
        <v/>
      </c>
      <c r="J76" s="584" t="str">
        <f>IF(VLOOKUP($A76,'Pre-Assessment Estimator'!$A$10:$Z$224,J$2,FALSE)=0,"",VLOOKUP($A76,'Pre-Assessment Estimator'!$A$10:$Z$224,J$2,FALSE))</f>
        <v/>
      </c>
      <c r="K76" s="585" t="str">
        <f>IF(VLOOKUP($A76,'Pre-Assessment Estimator'!$A$10:$Z$224,K$2,FALSE)=0,"",VLOOKUP($A76,'Pre-Assessment Estimator'!$A$10:$Z$224,K$2,FALSE))</f>
        <v/>
      </c>
      <c r="L76" s="586"/>
      <c r="M76" s="587" t="str">
        <f>IF(VLOOKUP($A76,'Pre-Assessment Estimator'!$A$10:$Z$224,M$2,FALSE)=0,"",VLOOKUP($A76,'Pre-Assessment Estimator'!$A$10:$Z$224,M$2,FALSE))</f>
        <v/>
      </c>
      <c r="N76" s="582" t="str">
        <f>VLOOKUP($A76,'Pre-Assessment Estimator'!$A$10:$Z$224,N$2,FALSE)</f>
        <v>0 c. 0 %</v>
      </c>
      <c r="O76" s="581" t="str">
        <f>VLOOKUP($A76,'Pre-Assessment Estimator'!$A$10:$Z$224,O$2,FALSE)</f>
        <v>N/A</v>
      </c>
      <c r="P76" s="584" t="str">
        <f>IF(VLOOKUP($A76,'Pre-Assessment Estimator'!$A$10:$Z$224,P$2,FALSE)=0,"",VLOOKUP($A76,'Pre-Assessment Estimator'!$A$10:$Z$224,P$2,FALSE))</f>
        <v/>
      </c>
      <c r="Q76" s="584" t="str">
        <f>IF(VLOOKUP($A76,'Pre-Assessment Estimator'!$A$10:$Z$224,Q$2,FALSE)=0,"",VLOOKUP($A76,'Pre-Assessment Estimator'!$A$10:$Z$224,Q$2,FALSE))</f>
        <v/>
      </c>
      <c r="R76" s="585" t="str">
        <f>IF(VLOOKUP($A76,'Pre-Assessment Estimator'!$A$10:$Z$224,R$2,FALSE)=0,"",VLOOKUP($A76,'Pre-Assessment Estimator'!$A$10:$Z$224,R$2,FALSE))</f>
        <v/>
      </c>
      <c r="S76" s="588"/>
      <c r="T76" s="587" t="str">
        <f>IF(VLOOKUP($A76,'Pre-Assessment Estimator'!$A$10:$Z$224,T$2,FALSE)=0,"",VLOOKUP($A76,'Pre-Assessment Estimator'!$A$10:$Z$224,T$2,FALSE))</f>
        <v/>
      </c>
      <c r="U76" s="582" t="str">
        <f>VLOOKUP($A76,'Pre-Assessment Estimator'!$A$10:$Z$224,U$2,FALSE)</f>
        <v>0 c. 0 %</v>
      </c>
      <c r="V76" s="581" t="str">
        <f>VLOOKUP($A76,'Pre-Assessment Estimator'!$A$10:$Z$224,V$2,FALSE)</f>
        <v>N/A</v>
      </c>
      <c r="W76" s="584" t="str">
        <f>IF(VLOOKUP($A76,'Pre-Assessment Estimator'!$A$10:$Z$224,W$2,FALSE)=0,"",VLOOKUP($A76,'Pre-Assessment Estimator'!$A$10:$Z$224,W$2,FALSE))</f>
        <v/>
      </c>
      <c r="X76" s="584" t="str">
        <f>IF(VLOOKUP($A76,'Pre-Assessment Estimator'!$A$10:$Z$224,X$2,FALSE)=0,"",VLOOKUP($A76,'Pre-Assessment Estimator'!$A$10:$Z$224,X$2,FALSE))</f>
        <v/>
      </c>
      <c r="Y76" s="370" t="str">
        <f>IF(VLOOKUP($A76,'Pre-Assessment Estimator'!$A$10:$Z$224,Y$2,FALSE)=0,"",VLOOKUP($A76,'Pre-Assessment Estimator'!$A$10:$Z$224,Y$2,FALSE))</f>
        <v/>
      </c>
      <c r="Z76" s="705"/>
      <c r="AA76" s="584"/>
      <c r="AE76" s="386">
        <f t="shared" si="0"/>
        <v>1</v>
      </c>
      <c r="AF76" s="95" t="e">
        <f>VLOOKUP(J76,'Assessment Details'!$O$45:$P$48,2,FALSE)</f>
        <v>#N/A</v>
      </c>
      <c r="AG76" s="95" t="e">
        <f>VLOOKUP(Q76,'Assessment Details'!$O$45:$P$48,2,FALSE)</f>
        <v>#N/A</v>
      </c>
      <c r="AH76" s="95" t="e">
        <f>VLOOKUP(X76,'Assessment Details'!$O$45:$P$48,2,FALSE)</f>
        <v>#N/A</v>
      </c>
    </row>
    <row r="77" spans="1:34" x14ac:dyDescent="0.25">
      <c r="A77" s="836">
        <v>68</v>
      </c>
      <c r="B77" s="1262"/>
      <c r="C77" s="1262"/>
      <c r="D77" s="340" t="str">
        <f>VLOOKUP($A77,'Pre-Assessment Estimator'!$A$10:$Z$224,D$2,FALSE)</f>
        <v>No external lighting within the construction zone</v>
      </c>
      <c r="E77" s="581">
        <f>VLOOKUP($A77,'Pre-Assessment Estimator'!$A$10:$Z$224,E$2,FALSE)</f>
        <v>1</v>
      </c>
      <c r="F77" s="587" t="str">
        <f>IF(VLOOKUP($A77,'Pre-Assessment Estimator'!$A$10:$Z$224,F$2,FALSE)=0,"",VLOOKUP($A77,'Pre-Assessment Estimator'!$A$10:$Z$224,F$2,FALSE))</f>
        <v/>
      </c>
      <c r="G77" s="1239">
        <f>VLOOKUP($A77,'Pre-Assessment Estimator'!$A$10:$Z$224,G$2,FALSE)</f>
        <v>0</v>
      </c>
      <c r="H77" s="583" t="str">
        <f>VLOOKUP($A77,'Pre-Assessment Estimator'!$A$10:$Z$224,H$2,FALSE)</f>
        <v>N/A</v>
      </c>
      <c r="I77" s="584" t="str">
        <f>IF(VLOOKUP($A77,'Pre-Assessment Estimator'!$A$10:$Z$224,I$2,FALSE)=0,"",VLOOKUP($A77,'Pre-Assessment Estimator'!$A$10:$Z$224,I$2,FALSE))</f>
        <v/>
      </c>
      <c r="J77" s="584" t="str">
        <f>IF(VLOOKUP($A77,'Pre-Assessment Estimator'!$A$10:$Z$224,J$2,FALSE)=0,"",VLOOKUP($A77,'Pre-Assessment Estimator'!$A$10:$Z$224,J$2,FALSE))</f>
        <v/>
      </c>
      <c r="K77" s="585" t="str">
        <f>IF(VLOOKUP($A77,'Pre-Assessment Estimator'!$A$10:$Z$224,K$2,FALSE)=0,"",VLOOKUP($A77,'Pre-Assessment Estimator'!$A$10:$Z$224,K$2,FALSE))</f>
        <v/>
      </c>
      <c r="L77" s="586"/>
      <c r="M77" s="587" t="str">
        <f>IF(VLOOKUP($A77,'Pre-Assessment Estimator'!$A$10:$Z$224,M$2,FALSE)=0,"",VLOOKUP($A77,'Pre-Assessment Estimator'!$A$10:$Z$224,M$2,FALSE))</f>
        <v/>
      </c>
      <c r="N77" s="582">
        <f>VLOOKUP($A77,'Pre-Assessment Estimator'!$A$10:$Z$224,N$2,FALSE)</f>
        <v>0</v>
      </c>
      <c r="O77" s="581" t="str">
        <f>VLOOKUP($A77,'Pre-Assessment Estimator'!$A$10:$Z$224,O$2,FALSE)</f>
        <v>N/A</v>
      </c>
      <c r="P77" s="584" t="str">
        <f>IF(VLOOKUP($A77,'Pre-Assessment Estimator'!$A$10:$Z$224,P$2,FALSE)=0,"",VLOOKUP($A77,'Pre-Assessment Estimator'!$A$10:$Z$224,P$2,FALSE))</f>
        <v/>
      </c>
      <c r="Q77" s="584" t="str">
        <f>IF(VLOOKUP($A77,'Pre-Assessment Estimator'!$A$10:$Z$224,Q$2,FALSE)=0,"",VLOOKUP($A77,'Pre-Assessment Estimator'!$A$10:$Z$224,Q$2,FALSE))</f>
        <v/>
      </c>
      <c r="R77" s="585" t="str">
        <f>IF(VLOOKUP($A77,'Pre-Assessment Estimator'!$A$10:$Z$224,R$2,FALSE)=0,"",VLOOKUP($A77,'Pre-Assessment Estimator'!$A$10:$Z$224,R$2,FALSE))</f>
        <v/>
      </c>
      <c r="S77" s="588"/>
      <c r="T77" s="587" t="str">
        <f>IF(VLOOKUP($A77,'Pre-Assessment Estimator'!$A$10:$Z$224,T$2,FALSE)=0,"",VLOOKUP($A77,'Pre-Assessment Estimator'!$A$10:$Z$224,T$2,FALSE))</f>
        <v/>
      </c>
      <c r="U77" s="582">
        <f>VLOOKUP($A77,'Pre-Assessment Estimator'!$A$10:$Z$224,U$2,FALSE)</f>
        <v>0</v>
      </c>
      <c r="V77" s="581" t="str">
        <f>VLOOKUP($A77,'Pre-Assessment Estimator'!$A$10:$Z$224,V$2,FALSE)</f>
        <v>N/A</v>
      </c>
      <c r="W77" s="584" t="str">
        <f>IF(VLOOKUP($A77,'Pre-Assessment Estimator'!$A$10:$Z$224,W$2,FALSE)=0,"",VLOOKUP($A77,'Pre-Assessment Estimator'!$A$10:$Z$224,W$2,FALSE))</f>
        <v/>
      </c>
      <c r="X77" s="584" t="str">
        <f>IF(VLOOKUP($A77,'Pre-Assessment Estimator'!$A$10:$Z$224,X$2,FALSE)=0,"",VLOOKUP($A77,'Pre-Assessment Estimator'!$A$10:$Z$224,X$2,FALSE))</f>
        <v/>
      </c>
      <c r="Y77" s="370" t="str">
        <f>IF(VLOOKUP($A77,'Pre-Assessment Estimator'!$A$10:$Z$224,Y$2,FALSE)=0,"",VLOOKUP($A77,'Pre-Assessment Estimator'!$A$10:$Z$224,Y$2,FALSE))</f>
        <v/>
      </c>
      <c r="Z77" s="705"/>
      <c r="AA77" s="584"/>
      <c r="AE77" s="386">
        <f t="shared" si="0"/>
        <v>1</v>
      </c>
      <c r="AF77" s="95" t="e">
        <f>VLOOKUP(J77,'Assessment Details'!$O$45:$P$48,2,FALSE)</f>
        <v>#N/A</v>
      </c>
      <c r="AG77" s="95" t="e">
        <f>VLOOKUP(Q77,'Assessment Details'!$O$45:$P$48,2,FALSE)</f>
        <v>#N/A</v>
      </c>
      <c r="AH77" s="95" t="e">
        <f>VLOOKUP(X77,'Assessment Details'!$O$45:$P$48,2,FALSE)</f>
        <v>#N/A</v>
      </c>
    </row>
    <row r="78" spans="1:34" x14ac:dyDescent="0.25">
      <c r="A78" s="836">
        <v>69</v>
      </c>
      <c r="B78" s="1262"/>
      <c r="C78" s="1262"/>
      <c r="D78" s="340" t="str">
        <f>VLOOKUP($A78,'Pre-Assessment Estimator'!$A$10:$Z$224,D$2,FALSE)</f>
        <v>External lighting within the construction zone</v>
      </c>
      <c r="E78" s="581">
        <f>VLOOKUP($A78,'Pre-Assessment Estimator'!$A$10:$Z$224,E$2,FALSE)</f>
        <v>0</v>
      </c>
      <c r="F78" s="587" t="str">
        <f>IF(VLOOKUP($A78,'Pre-Assessment Estimator'!$A$10:$Z$224,F$2,FALSE)=0,"",VLOOKUP($A78,'Pre-Assessment Estimator'!$A$10:$Z$224,F$2,FALSE))</f>
        <v/>
      </c>
      <c r="G78" s="1239">
        <f>VLOOKUP($A78,'Pre-Assessment Estimator'!$A$10:$Z$224,G$2,FALSE)</f>
        <v>0</v>
      </c>
      <c r="H78" s="583" t="str">
        <f>VLOOKUP($A78,'Pre-Assessment Estimator'!$A$10:$Z$224,H$2,FALSE)</f>
        <v>N/A</v>
      </c>
      <c r="I78" s="584" t="str">
        <f>IF(VLOOKUP($A78,'Pre-Assessment Estimator'!$A$10:$Z$224,I$2,FALSE)=0,"",VLOOKUP($A78,'Pre-Assessment Estimator'!$A$10:$Z$224,I$2,FALSE))</f>
        <v/>
      </c>
      <c r="J78" s="584" t="str">
        <f>IF(VLOOKUP($A78,'Pre-Assessment Estimator'!$A$10:$Z$224,J$2,FALSE)=0,"",VLOOKUP($A78,'Pre-Assessment Estimator'!$A$10:$Z$224,J$2,FALSE))</f>
        <v/>
      </c>
      <c r="K78" s="585" t="str">
        <f>IF(VLOOKUP($A78,'Pre-Assessment Estimator'!$A$10:$Z$224,K$2,FALSE)=0,"",VLOOKUP($A78,'Pre-Assessment Estimator'!$A$10:$Z$224,K$2,FALSE))</f>
        <v/>
      </c>
      <c r="L78" s="586"/>
      <c r="M78" s="587" t="str">
        <f>IF(VLOOKUP($A78,'Pre-Assessment Estimator'!$A$10:$Z$224,M$2,FALSE)=0,"",VLOOKUP($A78,'Pre-Assessment Estimator'!$A$10:$Z$224,M$2,FALSE))</f>
        <v/>
      </c>
      <c r="N78" s="582">
        <f>VLOOKUP($A78,'Pre-Assessment Estimator'!$A$10:$Z$224,N$2,FALSE)</f>
        <v>0</v>
      </c>
      <c r="O78" s="581" t="str">
        <f>VLOOKUP($A78,'Pre-Assessment Estimator'!$A$10:$Z$224,O$2,FALSE)</f>
        <v>N/A</v>
      </c>
      <c r="P78" s="584" t="str">
        <f>IF(VLOOKUP($A78,'Pre-Assessment Estimator'!$A$10:$Z$224,P$2,FALSE)=0,"",VLOOKUP($A78,'Pre-Assessment Estimator'!$A$10:$Z$224,P$2,FALSE))</f>
        <v/>
      </c>
      <c r="Q78" s="584" t="str">
        <f>IF(VLOOKUP($A78,'Pre-Assessment Estimator'!$A$10:$Z$224,Q$2,FALSE)=0,"",VLOOKUP($A78,'Pre-Assessment Estimator'!$A$10:$Z$224,Q$2,FALSE))</f>
        <v/>
      </c>
      <c r="R78" s="585" t="str">
        <f>IF(VLOOKUP($A78,'Pre-Assessment Estimator'!$A$10:$Z$224,R$2,FALSE)=0,"",VLOOKUP($A78,'Pre-Assessment Estimator'!$A$10:$Z$224,R$2,FALSE))</f>
        <v/>
      </c>
      <c r="S78" s="588"/>
      <c r="T78" s="587" t="str">
        <f>IF(VLOOKUP($A78,'Pre-Assessment Estimator'!$A$10:$Z$224,T$2,FALSE)=0,"",VLOOKUP($A78,'Pre-Assessment Estimator'!$A$10:$Z$224,T$2,FALSE))</f>
        <v/>
      </c>
      <c r="U78" s="582">
        <f>VLOOKUP($A78,'Pre-Assessment Estimator'!$A$10:$Z$224,U$2,FALSE)</f>
        <v>0</v>
      </c>
      <c r="V78" s="581" t="str">
        <f>VLOOKUP($A78,'Pre-Assessment Estimator'!$A$10:$Z$224,V$2,FALSE)</f>
        <v>N/A</v>
      </c>
      <c r="W78" s="584" t="str">
        <f>IF(VLOOKUP($A78,'Pre-Assessment Estimator'!$A$10:$Z$224,W$2,FALSE)=0,"",VLOOKUP($A78,'Pre-Assessment Estimator'!$A$10:$Z$224,W$2,FALSE))</f>
        <v/>
      </c>
      <c r="X78" s="584" t="str">
        <f>IF(VLOOKUP($A78,'Pre-Assessment Estimator'!$A$10:$Z$224,X$2,FALSE)=0,"",VLOOKUP($A78,'Pre-Assessment Estimator'!$A$10:$Z$224,X$2,FALSE))</f>
        <v/>
      </c>
      <c r="Y78" s="370" t="str">
        <f>IF(VLOOKUP($A78,'Pre-Assessment Estimator'!$A$10:$Z$224,Y$2,FALSE)=0,"",VLOOKUP($A78,'Pre-Assessment Estimator'!$A$10:$Z$224,Y$2,FALSE))</f>
        <v/>
      </c>
      <c r="Z78" s="705"/>
      <c r="AA78" s="584"/>
      <c r="AE78" s="386">
        <f t="shared" si="0"/>
        <v>2</v>
      </c>
      <c r="AF78" s="95" t="e">
        <f>VLOOKUP(J78,'Assessment Details'!$O$45:$P$48,2,FALSE)</f>
        <v>#N/A</v>
      </c>
      <c r="AG78" s="95" t="e">
        <f>VLOOKUP(Q78,'Assessment Details'!$O$45:$P$48,2,FALSE)</f>
        <v>#N/A</v>
      </c>
      <c r="AH78" s="95" t="e">
        <f>VLOOKUP(X78,'Assessment Details'!$O$45:$P$48,2,FALSE)</f>
        <v>#N/A</v>
      </c>
    </row>
    <row r="79" spans="1:34" x14ac:dyDescent="0.25">
      <c r="A79" s="836">
        <v>70</v>
      </c>
      <c r="B79" s="1262"/>
      <c r="C79" s="1262"/>
      <c r="D79" s="993" t="str">
        <f>VLOOKUP($A79,'Pre-Assessment Estimator'!$A$10:$Z$224,D$2,FALSE)</f>
        <v>Ene 05 Energy efficient cold storage</v>
      </c>
      <c r="E79" s="581">
        <f>VLOOKUP($A79,'Pre-Assessment Estimator'!$A$10:$Z$224,E$2,FALSE)</f>
        <v>2</v>
      </c>
      <c r="F79" s="587" t="str">
        <f>IF(VLOOKUP($A79,'Pre-Assessment Estimator'!$A$10:$Z$224,F$2,FALSE)=0,"",VLOOKUP($A79,'Pre-Assessment Estimator'!$A$10:$Z$224,F$2,FALSE))</f>
        <v/>
      </c>
      <c r="G79" s="1239" t="str">
        <f>VLOOKUP($A79,'Pre-Assessment Estimator'!$A$10:$Z$224,G$2,FALSE)</f>
        <v>0 c. 0 %</v>
      </c>
      <c r="H79" s="583" t="str">
        <f>VLOOKUP($A79,'Pre-Assessment Estimator'!$A$10:$Z$224,H$2,FALSE)</f>
        <v>N/A</v>
      </c>
      <c r="I79" s="584" t="str">
        <f>IF(VLOOKUP($A79,'Pre-Assessment Estimator'!$A$10:$Z$224,I$2,FALSE)=0,"",VLOOKUP($A79,'Pre-Assessment Estimator'!$A$10:$Z$224,I$2,FALSE))</f>
        <v/>
      </c>
      <c r="J79" s="584" t="str">
        <f>IF(VLOOKUP($A79,'Pre-Assessment Estimator'!$A$10:$Z$224,J$2,FALSE)=0,"",VLOOKUP($A79,'Pre-Assessment Estimator'!$A$10:$Z$224,J$2,FALSE))</f>
        <v/>
      </c>
      <c r="K79" s="585" t="str">
        <f>IF(VLOOKUP($A79,'Pre-Assessment Estimator'!$A$10:$Z$224,K$2,FALSE)=0,"",VLOOKUP($A79,'Pre-Assessment Estimator'!$A$10:$Z$224,K$2,FALSE))</f>
        <v/>
      </c>
      <c r="L79" s="586"/>
      <c r="M79" s="587" t="str">
        <f>IF(VLOOKUP($A79,'Pre-Assessment Estimator'!$A$10:$Z$224,M$2,FALSE)=0,"",VLOOKUP($A79,'Pre-Assessment Estimator'!$A$10:$Z$224,M$2,FALSE))</f>
        <v/>
      </c>
      <c r="N79" s="582" t="str">
        <f>VLOOKUP($A79,'Pre-Assessment Estimator'!$A$10:$Z$224,N$2,FALSE)</f>
        <v>0 c. 0 %</v>
      </c>
      <c r="O79" s="581" t="str">
        <f>VLOOKUP($A79,'Pre-Assessment Estimator'!$A$10:$Z$224,O$2,FALSE)</f>
        <v>N/A</v>
      </c>
      <c r="P79" s="584" t="str">
        <f>IF(VLOOKUP($A79,'Pre-Assessment Estimator'!$A$10:$Z$224,P$2,FALSE)=0,"",VLOOKUP($A79,'Pre-Assessment Estimator'!$A$10:$Z$224,P$2,FALSE))</f>
        <v/>
      </c>
      <c r="Q79" s="584" t="str">
        <f>IF(VLOOKUP($A79,'Pre-Assessment Estimator'!$A$10:$Z$224,Q$2,FALSE)=0,"",VLOOKUP($A79,'Pre-Assessment Estimator'!$A$10:$Z$224,Q$2,FALSE))</f>
        <v/>
      </c>
      <c r="R79" s="585" t="str">
        <f>IF(VLOOKUP($A79,'Pre-Assessment Estimator'!$A$10:$Z$224,R$2,FALSE)=0,"",VLOOKUP($A79,'Pre-Assessment Estimator'!$A$10:$Z$224,R$2,FALSE))</f>
        <v/>
      </c>
      <c r="S79" s="588"/>
      <c r="T79" s="587" t="str">
        <f>IF(VLOOKUP($A79,'Pre-Assessment Estimator'!$A$10:$Z$224,T$2,FALSE)=0,"",VLOOKUP($A79,'Pre-Assessment Estimator'!$A$10:$Z$224,T$2,FALSE))</f>
        <v/>
      </c>
      <c r="U79" s="582" t="str">
        <f>VLOOKUP($A79,'Pre-Assessment Estimator'!$A$10:$Z$224,U$2,FALSE)</f>
        <v>0 c. 0 %</v>
      </c>
      <c r="V79" s="581" t="str">
        <f>VLOOKUP($A79,'Pre-Assessment Estimator'!$A$10:$Z$224,V$2,FALSE)</f>
        <v>N/A</v>
      </c>
      <c r="W79" s="584" t="str">
        <f>IF(VLOOKUP($A79,'Pre-Assessment Estimator'!$A$10:$Z$224,W$2,FALSE)=0,"",VLOOKUP($A79,'Pre-Assessment Estimator'!$A$10:$Z$224,W$2,FALSE))</f>
        <v/>
      </c>
      <c r="X79" s="584" t="str">
        <f>IF(VLOOKUP($A79,'Pre-Assessment Estimator'!$A$10:$Z$224,X$2,FALSE)=0,"",VLOOKUP($A79,'Pre-Assessment Estimator'!$A$10:$Z$224,X$2,FALSE))</f>
        <v/>
      </c>
      <c r="Y79" s="370" t="str">
        <f>IF(VLOOKUP($A79,'Pre-Assessment Estimator'!$A$10:$Z$224,Y$2,FALSE)=0,"",VLOOKUP($A79,'Pre-Assessment Estimator'!$A$10:$Z$224,Y$2,FALSE))</f>
        <v/>
      </c>
      <c r="Z79" s="705"/>
      <c r="AA79" s="584"/>
      <c r="AE79" s="386">
        <f t="shared" si="0"/>
        <v>1</v>
      </c>
      <c r="AF79" s="95" t="e">
        <f>VLOOKUP(J79,'Assessment Details'!$O$45:$P$48,2,FALSE)</f>
        <v>#N/A</v>
      </c>
      <c r="AG79" s="95" t="e">
        <f>VLOOKUP(Q79,'Assessment Details'!$O$45:$P$48,2,FALSE)</f>
        <v>#N/A</v>
      </c>
      <c r="AH79" s="95" t="e">
        <f>VLOOKUP(X79,'Assessment Details'!$O$45:$P$48,2,FALSE)</f>
        <v>#N/A</v>
      </c>
    </row>
    <row r="80" spans="1:34" ht="30" x14ac:dyDescent="0.25">
      <c r="A80" s="836">
        <v>71</v>
      </c>
      <c r="B80" s="1262"/>
      <c r="C80" s="1262"/>
      <c r="D80" s="340" t="str">
        <f>VLOOKUP($A80,'Pre-Assessment Estimator'!$A$10:$Z$224,D$2,FALSE)</f>
        <v xml:space="preserve">Design of energy efficient refrigeration- and freezing room </v>
      </c>
      <c r="E80" s="581">
        <f>VLOOKUP($A80,'Pre-Assessment Estimator'!$A$10:$Z$224,E$2,FALSE)</f>
        <v>1</v>
      </c>
      <c r="F80" s="587" t="str">
        <f>IF(VLOOKUP($A80,'Pre-Assessment Estimator'!$A$10:$Z$224,F$2,FALSE)=0,"",VLOOKUP($A80,'Pre-Assessment Estimator'!$A$10:$Z$224,F$2,FALSE))</f>
        <v/>
      </c>
      <c r="G80" s="1239">
        <f>VLOOKUP($A80,'Pre-Assessment Estimator'!$A$10:$Z$224,G$2,FALSE)</f>
        <v>0</v>
      </c>
      <c r="H80" s="583" t="str">
        <f>VLOOKUP($A80,'Pre-Assessment Estimator'!$A$10:$Z$224,H$2,FALSE)</f>
        <v>N/A</v>
      </c>
      <c r="I80" s="584" t="str">
        <f>IF(VLOOKUP($A80,'Pre-Assessment Estimator'!$A$10:$Z$224,I$2,FALSE)=0,"",VLOOKUP($A80,'Pre-Assessment Estimator'!$A$10:$Z$224,I$2,FALSE))</f>
        <v/>
      </c>
      <c r="J80" s="584" t="str">
        <f>IF(VLOOKUP($A80,'Pre-Assessment Estimator'!$A$10:$Z$224,J$2,FALSE)=0,"",VLOOKUP($A80,'Pre-Assessment Estimator'!$A$10:$Z$224,J$2,FALSE))</f>
        <v/>
      </c>
      <c r="K80" s="585" t="str">
        <f>IF(VLOOKUP($A80,'Pre-Assessment Estimator'!$A$10:$Z$224,K$2,FALSE)=0,"",VLOOKUP($A80,'Pre-Assessment Estimator'!$A$10:$Z$224,K$2,FALSE))</f>
        <v/>
      </c>
      <c r="L80" s="586"/>
      <c r="M80" s="587" t="str">
        <f>IF(VLOOKUP($A80,'Pre-Assessment Estimator'!$A$10:$Z$224,M$2,FALSE)=0,"",VLOOKUP($A80,'Pre-Assessment Estimator'!$A$10:$Z$224,M$2,FALSE))</f>
        <v/>
      </c>
      <c r="N80" s="582">
        <f>VLOOKUP($A80,'Pre-Assessment Estimator'!$A$10:$Z$224,N$2,FALSE)</f>
        <v>0</v>
      </c>
      <c r="O80" s="581" t="str">
        <f>VLOOKUP($A80,'Pre-Assessment Estimator'!$A$10:$Z$224,O$2,FALSE)</f>
        <v>N/A</v>
      </c>
      <c r="P80" s="584" t="str">
        <f>IF(VLOOKUP($A80,'Pre-Assessment Estimator'!$A$10:$Z$224,P$2,FALSE)=0,"",VLOOKUP($A80,'Pre-Assessment Estimator'!$A$10:$Z$224,P$2,FALSE))</f>
        <v/>
      </c>
      <c r="Q80" s="584" t="str">
        <f>IF(VLOOKUP($A80,'Pre-Assessment Estimator'!$A$10:$Z$224,Q$2,FALSE)=0,"",VLOOKUP($A80,'Pre-Assessment Estimator'!$A$10:$Z$224,Q$2,FALSE))</f>
        <v/>
      </c>
      <c r="R80" s="585" t="str">
        <f>IF(VLOOKUP($A80,'Pre-Assessment Estimator'!$A$10:$Z$224,R$2,FALSE)=0,"",VLOOKUP($A80,'Pre-Assessment Estimator'!$A$10:$Z$224,R$2,FALSE))</f>
        <v/>
      </c>
      <c r="S80" s="588"/>
      <c r="T80" s="587" t="str">
        <f>IF(VLOOKUP($A80,'Pre-Assessment Estimator'!$A$10:$Z$224,T$2,FALSE)=0,"",VLOOKUP($A80,'Pre-Assessment Estimator'!$A$10:$Z$224,T$2,FALSE))</f>
        <v/>
      </c>
      <c r="U80" s="582">
        <f>VLOOKUP($A80,'Pre-Assessment Estimator'!$A$10:$Z$224,U$2,FALSE)</f>
        <v>0</v>
      </c>
      <c r="V80" s="581" t="str">
        <f>VLOOKUP($A80,'Pre-Assessment Estimator'!$A$10:$Z$224,V$2,FALSE)</f>
        <v>N/A</v>
      </c>
      <c r="W80" s="584" t="str">
        <f>IF(VLOOKUP($A80,'Pre-Assessment Estimator'!$A$10:$Z$224,W$2,FALSE)=0,"",VLOOKUP($A80,'Pre-Assessment Estimator'!$A$10:$Z$224,W$2,FALSE))</f>
        <v/>
      </c>
      <c r="X80" s="584" t="str">
        <f>IF(VLOOKUP($A80,'Pre-Assessment Estimator'!$A$10:$Z$224,X$2,FALSE)=0,"",VLOOKUP($A80,'Pre-Assessment Estimator'!$A$10:$Z$224,X$2,FALSE))</f>
        <v/>
      </c>
      <c r="Y80" s="370" t="str">
        <f>IF(VLOOKUP($A80,'Pre-Assessment Estimator'!$A$10:$Z$224,Y$2,FALSE)=0,"",VLOOKUP($A80,'Pre-Assessment Estimator'!$A$10:$Z$224,Y$2,FALSE))</f>
        <v/>
      </c>
      <c r="Z80" s="705"/>
      <c r="AA80" s="584"/>
      <c r="AE80" s="386">
        <f t="shared" si="0"/>
        <v>1</v>
      </c>
      <c r="AF80" s="95" t="e">
        <f>VLOOKUP(J80,'Assessment Details'!$O$45:$P$48,2,FALSE)</f>
        <v>#N/A</v>
      </c>
      <c r="AG80" s="95" t="e">
        <f>VLOOKUP(Q80,'Assessment Details'!$O$45:$P$48,2,FALSE)</f>
        <v>#N/A</v>
      </c>
      <c r="AH80" s="95" t="e">
        <f>VLOOKUP(X80,'Assessment Details'!$O$45:$P$48,2,FALSE)</f>
        <v>#N/A</v>
      </c>
    </row>
    <row r="81" spans="1:34" x14ac:dyDescent="0.25">
      <c r="A81" s="836">
        <v>72</v>
      </c>
      <c r="B81" s="1262"/>
      <c r="C81" s="1262"/>
      <c r="D81" s="340" t="str">
        <f>VLOOKUP($A81,'Pre-Assessment Estimator'!$A$10:$Z$224,D$2,FALSE)</f>
        <v xml:space="preserve">Indirect greenhouse gas emissions </v>
      </c>
      <c r="E81" s="581">
        <f>VLOOKUP($A81,'Pre-Assessment Estimator'!$A$10:$Z$224,E$2,FALSE)</f>
        <v>1</v>
      </c>
      <c r="F81" s="587" t="str">
        <f>IF(VLOOKUP($A81,'Pre-Assessment Estimator'!$A$10:$Z$224,F$2,FALSE)=0,"",VLOOKUP($A81,'Pre-Assessment Estimator'!$A$10:$Z$224,F$2,FALSE))</f>
        <v/>
      </c>
      <c r="G81" s="1239">
        <f>VLOOKUP($A81,'Pre-Assessment Estimator'!$A$10:$Z$224,G$2,FALSE)</f>
        <v>0</v>
      </c>
      <c r="H81" s="583" t="str">
        <f>VLOOKUP($A81,'Pre-Assessment Estimator'!$A$10:$Z$224,H$2,FALSE)</f>
        <v>N/A</v>
      </c>
      <c r="I81" s="584" t="str">
        <f>IF(VLOOKUP($A81,'Pre-Assessment Estimator'!$A$10:$Z$224,I$2,FALSE)=0,"",VLOOKUP($A81,'Pre-Assessment Estimator'!$A$10:$Z$224,I$2,FALSE))</f>
        <v/>
      </c>
      <c r="J81" s="584" t="str">
        <f>IF(VLOOKUP($A81,'Pre-Assessment Estimator'!$A$10:$Z$224,J$2,FALSE)=0,"",VLOOKUP($A81,'Pre-Assessment Estimator'!$A$10:$Z$224,J$2,FALSE))</f>
        <v/>
      </c>
      <c r="K81" s="585" t="str">
        <f>IF(VLOOKUP($A81,'Pre-Assessment Estimator'!$A$10:$Z$224,K$2,FALSE)=0,"",VLOOKUP($A81,'Pre-Assessment Estimator'!$A$10:$Z$224,K$2,FALSE))</f>
        <v/>
      </c>
      <c r="L81" s="586"/>
      <c r="M81" s="587" t="str">
        <f>IF(VLOOKUP($A81,'Pre-Assessment Estimator'!$A$10:$Z$224,M$2,FALSE)=0,"",VLOOKUP($A81,'Pre-Assessment Estimator'!$A$10:$Z$224,M$2,FALSE))</f>
        <v/>
      </c>
      <c r="N81" s="582">
        <f>VLOOKUP($A81,'Pre-Assessment Estimator'!$A$10:$Z$224,N$2,FALSE)</f>
        <v>0</v>
      </c>
      <c r="O81" s="581" t="str">
        <f>VLOOKUP($A81,'Pre-Assessment Estimator'!$A$10:$Z$224,O$2,FALSE)</f>
        <v>N/A</v>
      </c>
      <c r="P81" s="584" t="str">
        <f>IF(VLOOKUP($A81,'Pre-Assessment Estimator'!$A$10:$Z$224,P$2,FALSE)=0,"",VLOOKUP($A81,'Pre-Assessment Estimator'!$A$10:$Z$224,P$2,FALSE))</f>
        <v/>
      </c>
      <c r="Q81" s="584" t="str">
        <f>IF(VLOOKUP($A81,'Pre-Assessment Estimator'!$A$10:$Z$224,Q$2,FALSE)=0,"",VLOOKUP($A81,'Pre-Assessment Estimator'!$A$10:$Z$224,Q$2,FALSE))</f>
        <v/>
      </c>
      <c r="R81" s="585" t="str">
        <f>IF(VLOOKUP($A81,'Pre-Assessment Estimator'!$A$10:$Z$224,R$2,FALSE)=0,"",VLOOKUP($A81,'Pre-Assessment Estimator'!$A$10:$Z$224,R$2,FALSE))</f>
        <v/>
      </c>
      <c r="S81" s="588"/>
      <c r="T81" s="587" t="str">
        <f>IF(VLOOKUP($A81,'Pre-Assessment Estimator'!$A$10:$Z$224,T$2,FALSE)=0,"",VLOOKUP($A81,'Pre-Assessment Estimator'!$A$10:$Z$224,T$2,FALSE))</f>
        <v/>
      </c>
      <c r="U81" s="582">
        <f>VLOOKUP($A81,'Pre-Assessment Estimator'!$A$10:$Z$224,U$2,FALSE)</f>
        <v>0</v>
      </c>
      <c r="V81" s="581" t="str">
        <f>VLOOKUP($A81,'Pre-Assessment Estimator'!$A$10:$Z$224,V$2,FALSE)</f>
        <v>N/A</v>
      </c>
      <c r="W81" s="584" t="str">
        <f>IF(VLOOKUP($A81,'Pre-Assessment Estimator'!$A$10:$Z$224,W$2,FALSE)=0,"",VLOOKUP($A81,'Pre-Assessment Estimator'!$A$10:$Z$224,W$2,FALSE))</f>
        <v/>
      </c>
      <c r="X81" s="584" t="str">
        <f>IF(VLOOKUP($A81,'Pre-Assessment Estimator'!$A$10:$Z$224,X$2,FALSE)=0,"",VLOOKUP($A81,'Pre-Assessment Estimator'!$A$10:$Z$224,X$2,FALSE))</f>
        <v/>
      </c>
      <c r="Y81" s="370" t="str">
        <f>IF(VLOOKUP($A81,'Pre-Assessment Estimator'!$A$10:$Z$224,Y$2,FALSE)=0,"",VLOOKUP($A81,'Pre-Assessment Estimator'!$A$10:$Z$224,Y$2,FALSE))</f>
        <v/>
      </c>
      <c r="Z81" s="705"/>
      <c r="AA81" s="584"/>
      <c r="AE81" s="386">
        <f t="shared" ref="AE81:AE144" si="1">IF(E81="",1,IF(E81=0,2,1))</f>
        <v>1</v>
      </c>
      <c r="AF81" s="95" t="e">
        <f>VLOOKUP(J81,'Assessment Details'!$O$45:$P$48,2,FALSE)</f>
        <v>#N/A</v>
      </c>
      <c r="AG81" s="95" t="e">
        <f>VLOOKUP(Q81,'Assessment Details'!$O$45:$P$48,2,FALSE)</f>
        <v>#N/A</v>
      </c>
      <c r="AH81" s="95" t="e">
        <f>VLOOKUP(X81,'Assessment Details'!$O$45:$P$48,2,FALSE)</f>
        <v>#N/A</v>
      </c>
    </row>
    <row r="82" spans="1:34" x14ac:dyDescent="0.25">
      <c r="A82" s="836">
        <v>73</v>
      </c>
      <c r="B82" s="1262"/>
      <c r="C82" s="1262"/>
      <c r="D82" s="993" t="str">
        <f>VLOOKUP($A82,'Pre-Assessment Estimator'!$A$10:$Z$224,D$2,FALSE)</f>
        <v>Ene 06 Energy efficient transportation systems</v>
      </c>
      <c r="E82" s="581">
        <f>VLOOKUP($A82,'Pre-Assessment Estimator'!$A$10:$Z$224,E$2,FALSE)</f>
        <v>3</v>
      </c>
      <c r="F82" s="587" t="str">
        <f>IF(VLOOKUP($A82,'Pre-Assessment Estimator'!$A$10:$Z$224,F$2,FALSE)=0,"",VLOOKUP($A82,'Pre-Assessment Estimator'!$A$10:$Z$224,F$2,FALSE))</f>
        <v/>
      </c>
      <c r="G82" s="1239" t="str">
        <f>VLOOKUP($A82,'Pre-Assessment Estimator'!$A$10:$Z$224,G$2,FALSE)</f>
        <v>0 c. 0 %</v>
      </c>
      <c r="H82" s="583" t="str">
        <f>VLOOKUP($A82,'Pre-Assessment Estimator'!$A$10:$Z$224,H$2,FALSE)</f>
        <v>N/A</v>
      </c>
      <c r="I82" s="584" t="str">
        <f>IF(VLOOKUP($A82,'Pre-Assessment Estimator'!$A$10:$Z$224,I$2,FALSE)=0,"",VLOOKUP($A82,'Pre-Assessment Estimator'!$A$10:$Z$224,I$2,FALSE))</f>
        <v/>
      </c>
      <c r="J82" s="584" t="str">
        <f>IF(VLOOKUP($A82,'Pre-Assessment Estimator'!$A$10:$Z$224,J$2,FALSE)=0,"",VLOOKUP($A82,'Pre-Assessment Estimator'!$A$10:$Z$224,J$2,FALSE))</f>
        <v/>
      </c>
      <c r="K82" s="585" t="str">
        <f>IF(VLOOKUP($A82,'Pre-Assessment Estimator'!$A$10:$Z$224,K$2,FALSE)=0,"",VLOOKUP($A82,'Pre-Assessment Estimator'!$A$10:$Z$224,K$2,FALSE))</f>
        <v/>
      </c>
      <c r="L82" s="586"/>
      <c r="M82" s="587" t="str">
        <f>IF(VLOOKUP($A82,'Pre-Assessment Estimator'!$A$10:$Z$224,M$2,FALSE)=0,"",VLOOKUP($A82,'Pre-Assessment Estimator'!$A$10:$Z$224,M$2,FALSE))</f>
        <v/>
      </c>
      <c r="N82" s="582" t="str">
        <f>VLOOKUP($A82,'Pre-Assessment Estimator'!$A$10:$Z$224,N$2,FALSE)</f>
        <v>0 c. 0 %</v>
      </c>
      <c r="O82" s="581" t="str">
        <f>VLOOKUP($A82,'Pre-Assessment Estimator'!$A$10:$Z$224,O$2,FALSE)</f>
        <v>N/A</v>
      </c>
      <c r="P82" s="584" t="str">
        <f>IF(VLOOKUP($A82,'Pre-Assessment Estimator'!$A$10:$Z$224,P$2,FALSE)=0,"",VLOOKUP($A82,'Pre-Assessment Estimator'!$A$10:$Z$224,P$2,FALSE))</f>
        <v/>
      </c>
      <c r="Q82" s="584" t="str">
        <f>IF(VLOOKUP($A82,'Pre-Assessment Estimator'!$A$10:$Z$224,Q$2,FALSE)=0,"",VLOOKUP($A82,'Pre-Assessment Estimator'!$A$10:$Z$224,Q$2,FALSE))</f>
        <v/>
      </c>
      <c r="R82" s="585" t="str">
        <f>IF(VLOOKUP($A82,'Pre-Assessment Estimator'!$A$10:$Z$224,R$2,FALSE)=0,"",VLOOKUP($A82,'Pre-Assessment Estimator'!$A$10:$Z$224,R$2,FALSE))</f>
        <v/>
      </c>
      <c r="S82" s="588"/>
      <c r="T82" s="587" t="str">
        <f>IF(VLOOKUP($A82,'Pre-Assessment Estimator'!$A$10:$Z$224,T$2,FALSE)=0,"",VLOOKUP($A82,'Pre-Assessment Estimator'!$A$10:$Z$224,T$2,FALSE))</f>
        <v/>
      </c>
      <c r="U82" s="582" t="str">
        <f>VLOOKUP($A82,'Pre-Assessment Estimator'!$A$10:$Z$224,U$2,FALSE)</f>
        <v>0 c. 0 %</v>
      </c>
      <c r="V82" s="581" t="str">
        <f>VLOOKUP($A82,'Pre-Assessment Estimator'!$A$10:$Z$224,V$2,FALSE)</f>
        <v>N/A</v>
      </c>
      <c r="W82" s="584" t="str">
        <f>IF(VLOOKUP($A82,'Pre-Assessment Estimator'!$A$10:$Z$224,W$2,FALSE)=0,"",VLOOKUP($A82,'Pre-Assessment Estimator'!$A$10:$Z$224,W$2,FALSE))</f>
        <v/>
      </c>
      <c r="X82" s="584" t="str">
        <f>IF(VLOOKUP($A82,'Pre-Assessment Estimator'!$A$10:$Z$224,X$2,FALSE)=0,"",VLOOKUP($A82,'Pre-Assessment Estimator'!$A$10:$Z$224,X$2,FALSE))</f>
        <v/>
      </c>
      <c r="Y82" s="370" t="str">
        <f>IF(VLOOKUP($A82,'Pre-Assessment Estimator'!$A$10:$Z$224,Y$2,FALSE)=0,"",VLOOKUP($A82,'Pre-Assessment Estimator'!$A$10:$Z$224,Y$2,FALSE))</f>
        <v/>
      </c>
      <c r="Z82" s="705"/>
      <c r="AA82" s="584"/>
      <c r="AE82" s="386">
        <f t="shared" si="1"/>
        <v>1</v>
      </c>
      <c r="AF82" s="95" t="e">
        <f>VLOOKUP(J82,'Assessment Details'!$O$45:$P$48,2,FALSE)</f>
        <v>#N/A</v>
      </c>
      <c r="AG82" s="95" t="e">
        <f>VLOOKUP(Q82,'Assessment Details'!$O$45:$P$48,2,FALSE)</f>
        <v>#N/A</v>
      </c>
      <c r="AH82" s="95" t="e">
        <f>VLOOKUP(X82,'Assessment Details'!$O$45:$P$48,2,FALSE)</f>
        <v>#N/A</v>
      </c>
    </row>
    <row r="83" spans="1:34" x14ac:dyDescent="0.25">
      <c r="A83" s="836">
        <v>74</v>
      </c>
      <c r="B83" s="1262"/>
      <c r="C83" s="1262"/>
      <c r="D83" s="340" t="str">
        <f>VLOOKUP($A83,'Pre-Assessment Estimator'!$A$10:$Z$224,D$2,FALSE)</f>
        <v>Transport needs and usage patterns</v>
      </c>
      <c r="E83" s="581">
        <f>VLOOKUP($A83,'Pre-Assessment Estimator'!$A$10:$Z$224,E$2,FALSE)</f>
        <v>1</v>
      </c>
      <c r="F83" s="587" t="str">
        <f>IF(VLOOKUP($A83,'Pre-Assessment Estimator'!$A$10:$Z$224,F$2,FALSE)=0,"",VLOOKUP($A83,'Pre-Assessment Estimator'!$A$10:$Z$224,F$2,FALSE))</f>
        <v/>
      </c>
      <c r="G83" s="1239">
        <f>VLOOKUP($A83,'Pre-Assessment Estimator'!$A$10:$Z$224,G$2,FALSE)</f>
        <v>0</v>
      </c>
      <c r="H83" s="583" t="str">
        <f>VLOOKUP($A83,'Pre-Assessment Estimator'!$A$10:$Z$224,H$2,FALSE)</f>
        <v>N/A</v>
      </c>
      <c r="I83" s="584" t="str">
        <f>IF(VLOOKUP($A83,'Pre-Assessment Estimator'!$A$10:$Z$224,I$2,FALSE)=0,"",VLOOKUP($A83,'Pre-Assessment Estimator'!$A$10:$Z$224,I$2,FALSE))</f>
        <v/>
      </c>
      <c r="J83" s="584" t="str">
        <f>IF(VLOOKUP($A83,'Pre-Assessment Estimator'!$A$10:$Z$224,J$2,FALSE)=0,"",VLOOKUP($A83,'Pre-Assessment Estimator'!$A$10:$Z$224,J$2,FALSE))</f>
        <v/>
      </c>
      <c r="K83" s="585" t="str">
        <f>IF(VLOOKUP($A83,'Pre-Assessment Estimator'!$A$10:$Z$224,K$2,FALSE)=0,"",VLOOKUP($A83,'Pre-Assessment Estimator'!$A$10:$Z$224,K$2,FALSE))</f>
        <v/>
      </c>
      <c r="L83" s="586"/>
      <c r="M83" s="587" t="str">
        <f>IF(VLOOKUP($A83,'Pre-Assessment Estimator'!$A$10:$Z$224,M$2,FALSE)=0,"",VLOOKUP($A83,'Pre-Assessment Estimator'!$A$10:$Z$224,M$2,FALSE))</f>
        <v/>
      </c>
      <c r="N83" s="582">
        <f>VLOOKUP($A83,'Pre-Assessment Estimator'!$A$10:$Z$224,N$2,FALSE)</f>
        <v>0</v>
      </c>
      <c r="O83" s="581" t="str">
        <f>VLOOKUP($A83,'Pre-Assessment Estimator'!$A$10:$Z$224,O$2,FALSE)</f>
        <v>N/A</v>
      </c>
      <c r="P83" s="584" t="str">
        <f>IF(VLOOKUP($A83,'Pre-Assessment Estimator'!$A$10:$Z$224,P$2,FALSE)=0,"",VLOOKUP($A83,'Pre-Assessment Estimator'!$A$10:$Z$224,P$2,FALSE))</f>
        <v/>
      </c>
      <c r="Q83" s="584" t="str">
        <f>IF(VLOOKUP($A83,'Pre-Assessment Estimator'!$A$10:$Z$224,Q$2,FALSE)=0,"",VLOOKUP($A83,'Pre-Assessment Estimator'!$A$10:$Z$224,Q$2,FALSE))</f>
        <v/>
      </c>
      <c r="R83" s="585" t="str">
        <f>IF(VLOOKUP($A83,'Pre-Assessment Estimator'!$A$10:$Z$224,R$2,FALSE)=0,"",VLOOKUP($A83,'Pre-Assessment Estimator'!$A$10:$Z$224,R$2,FALSE))</f>
        <v/>
      </c>
      <c r="S83" s="588"/>
      <c r="T83" s="587" t="str">
        <f>IF(VLOOKUP($A83,'Pre-Assessment Estimator'!$A$10:$Z$224,T$2,FALSE)=0,"",VLOOKUP($A83,'Pre-Assessment Estimator'!$A$10:$Z$224,T$2,FALSE))</f>
        <v/>
      </c>
      <c r="U83" s="582">
        <f>VLOOKUP($A83,'Pre-Assessment Estimator'!$A$10:$Z$224,U$2,FALSE)</f>
        <v>0</v>
      </c>
      <c r="V83" s="581" t="str">
        <f>VLOOKUP($A83,'Pre-Assessment Estimator'!$A$10:$Z$224,V$2,FALSE)</f>
        <v>N/A</v>
      </c>
      <c r="W83" s="584" t="str">
        <f>IF(VLOOKUP($A83,'Pre-Assessment Estimator'!$A$10:$Z$224,W$2,FALSE)=0,"",VLOOKUP($A83,'Pre-Assessment Estimator'!$A$10:$Z$224,W$2,FALSE))</f>
        <v/>
      </c>
      <c r="X83" s="584" t="str">
        <f>IF(VLOOKUP($A83,'Pre-Assessment Estimator'!$A$10:$Z$224,X$2,FALSE)=0,"",VLOOKUP($A83,'Pre-Assessment Estimator'!$A$10:$Z$224,X$2,FALSE))</f>
        <v/>
      </c>
      <c r="Y83" s="370" t="str">
        <f>IF(VLOOKUP($A83,'Pre-Assessment Estimator'!$A$10:$Z$224,Y$2,FALSE)=0,"",VLOOKUP($A83,'Pre-Assessment Estimator'!$A$10:$Z$224,Y$2,FALSE))</f>
        <v/>
      </c>
      <c r="Z83" s="705"/>
      <c r="AA83" s="584"/>
      <c r="AE83" s="386">
        <f t="shared" si="1"/>
        <v>1</v>
      </c>
      <c r="AF83" s="95" t="e">
        <f>VLOOKUP(J83,'Assessment Details'!$O$45:$P$48,2,FALSE)</f>
        <v>#N/A</v>
      </c>
      <c r="AG83" s="95" t="e">
        <f>VLOOKUP(Q83,'Assessment Details'!$O$45:$P$48,2,FALSE)</f>
        <v>#N/A</v>
      </c>
      <c r="AH83" s="95" t="e">
        <f>VLOOKUP(X83,'Assessment Details'!$O$45:$P$48,2,FALSE)</f>
        <v>#N/A</v>
      </c>
    </row>
    <row r="84" spans="1:34" x14ac:dyDescent="0.25">
      <c r="A84" s="836">
        <v>75</v>
      </c>
      <c r="B84" s="1262"/>
      <c r="C84" s="1262"/>
      <c r="D84" s="340" t="str">
        <f>VLOOKUP($A84,'Pre-Assessment Estimator'!$A$10:$Z$224,D$2,FALSE)</f>
        <v>Energy efficient features: lifts</v>
      </c>
      <c r="E84" s="581">
        <f>VLOOKUP($A84,'Pre-Assessment Estimator'!$A$10:$Z$224,E$2,FALSE)</f>
        <v>1</v>
      </c>
      <c r="F84" s="587" t="str">
        <f>IF(VLOOKUP($A84,'Pre-Assessment Estimator'!$A$10:$Z$224,F$2,FALSE)=0,"",VLOOKUP($A84,'Pre-Assessment Estimator'!$A$10:$Z$224,F$2,FALSE))</f>
        <v/>
      </c>
      <c r="G84" s="1239">
        <f>VLOOKUP($A84,'Pre-Assessment Estimator'!$A$10:$Z$224,G$2,FALSE)</f>
        <v>0</v>
      </c>
      <c r="H84" s="583" t="str">
        <f>VLOOKUP($A84,'Pre-Assessment Estimator'!$A$10:$Z$224,H$2,FALSE)</f>
        <v>N/A</v>
      </c>
      <c r="I84" s="584" t="str">
        <f>IF(VLOOKUP($A84,'Pre-Assessment Estimator'!$A$10:$Z$224,I$2,FALSE)=0,"",VLOOKUP($A84,'Pre-Assessment Estimator'!$A$10:$Z$224,I$2,FALSE))</f>
        <v/>
      </c>
      <c r="J84" s="584" t="str">
        <f>IF(VLOOKUP($A84,'Pre-Assessment Estimator'!$A$10:$Z$224,J$2,FALSE)=0,"",VLOOKUP($A84,'Pre-Assessment Estimator'!$A$10:$Z$224,J$2,FALSE))</f>
        <v/>
      </c>
      <c r="K84" s="585" t="str">
        <f>IF(VLOOKUP($A84,'Pre-Assessment Estimator'!$A$10:$Z$224,K$2,FALSE)=0,"",VLOOKUP($A84,'Pre-Assessment Estimator'!$A$10:$Z$224,K$2,FALSE))</f>
        <v/>
      </c>
      <c r="L84" s="586"/>
      <c r="M84" s="587" t="str">
        <f>IF(VLOOKUP($A84,'Pre-Assessment Estimator'!$A$10:$Z$224,M$2,FALSE)=0,"",VLOOKUP($A84,'Pre-Assessment Estimator'!$A$10:$Z$224,M$2,FALSE))</f>
        <v/>
      </c>
      <c r="N84" s="582">
        <f>VLOOKUP($A84,'Pre-Assessment Estimator'!$A$10:$Z$224,N$2,FALSE)</f>
        <v>0</v>
      </c>
      <c r="O84" s="581" t="str">
        <f>VLOOKUP($A84,'Pre-Assessment Estimator'!$A$10:$Z$224,O$2,FALSE)</f>
        <v>N/A</v>
      </c>
      <c r="P84" s="584" t="str">
        <f>IF(VLOOKUP($A84,'Pre-Assessment Estimator'!$A$10:$Z$224,P$2,FALSE)=0,"",VLOOKUP($A84,'Pre-Assessment Estimator'!$A$10:$Z$224,P$2,FALSE))</f>
        <v/>
      </c>
      <c r="Q84" s="584" t="str">
        <f>IF(VLOOKUP($A84,'Pre-Assessment Estimator'!$A$10:$Z$224,Q$2,FALSE)=0,"",VLOOKUP($A84,'Pre-Assessment Estimator'!$A$10:$Z$224,Q$2,FALSE))</f>
        <v/>
      </c>
      <c r="R84" s="585" t="str">
        <f>IF(VLOOKUP($A84,'Pre-Assessment Estimator'!$A$10:$Z$224,R$2,FALSE)=0,"",VLOOKUP($A84,'Pre-Assessment Estimator'!$A$10:$Z$224,R$2,FALSE))</f>
        <v/>
      </c>
      <c r="S84" s="588"/>
      <c r="T84" s="587" t="str">
        <f>IF(VLOOKUP($A84,'Pre-Assessment Estimator'!$A$10:$Z$224,T$2,FALSE)=0,"",VLOOKUP($A84,'Pre-Assessment Estimator'!$A$10:$Z$224,T$2,FALSE))</f>
        <v/>
      </c>
      <c r="U84" s="582">
        <f>VLOOKUP($A84,'Pre-Assessment Estimator'!$A$10:$Z$224,U$2,FALSE)</f>
        <v>0</v>
      </c>
      <c r="V84" s="581" t="str">
        <f>VLOOKUP($A84,'Pre-Assessment Estimator'!$A$10:$Z$224,V$2,FALSE)</f>
        <v>N/A</v>
      </c>
      <c r="W84" s="584" t="str">
        <f>IF(VLOOKUP($A84,'Pre-Assessment Estimator'!$A$10:$Z$224,W$2,FALSE)=0,"",VLOOKUP($A84,'Pre-Assessment Estimator'!$A$10:$Z$224,W$2,FALSE))</f>
        <v/>
      </c>
      <c r="X84" s="584" t="str">
        <f>IF(VLOOKUP($A84,'Pre-Assessment Estimator'!$A$10:$Z$224,X$2,FALSE)=0,"",VLOOKUP($A84,'Pre-Assessment Estimator'!$A$10:$Z$224,X$2,FALSE))</f>
        <v/>
      </c>
      <c r="Y84" s="370" t="str">
        <f>IF(VLOOKUP($A84,'Pre-Assessment Estimator'!$A$10:$Z$224,Y$2,FALSE)=0,"",VLOOKUP($A84,'Pre-Assessment Estimator'!$A$10:$Z$224,Y$2,FALSE))</f>
        <v/>
      </c>
      <c r="Z84" s="705"/>
      <c r="AA84" s="584"/>
      <c r="AE84" s="386">
        <f t="shared" si="1"/>
        <v>1</v>
      </c>
      <c r="AF84" s="95" t="e">
        <f>VLOOKUP(J84,'Assessment Details'!$O$45:$P$48,2,FALSE)</f>
        <v>#N/A</v>
      </c>
      <c r="AG84" s="95" t="e">
        <f>VLOOKUP(Q84,'Assessment Details'!$O$45:$P$48,2,FALSE)</f>
        <v>#N/A</v>
      </c>
      <c r="AH84" s="95" t="e">
        <f>VLOOKUP(X84,'Assessment Details'!$O$45:$P$48,2,FALSE)</f>
        <v>#N/A</v>
      </c>
    </row>
    <row r="85" spans="1:34" x14ac:dyDescent="0.25">
      <c r="A85" s="836">
        <v>76</v>
      </c>
      <c r="B85" s="1262"/>
      <c r="C85" s="1262"/>
      <c r="D85" s="340" t="str">
        <f>VLOOKUP($A85,'Pre-Assessment Estimator'!$A$10:$Z$224,D$2,FALSE)</f>
        <v>Energy efficient features: escalators or moving walks</v>
      </c>
      <c r="E85" s="581">
        <f>VLOOKUP($A85,'Pre-Assessment Estimator'!$A$10:$Z$224,E$2,FALSE)</f>
        <v>1</v>
      </c>
      <c r="F85" s="587" t="str">
        <f>IF(VLOOKUP($A85,'Pre-Assessment Estimator'!$A$10:$Z$224,F$2,FALSE)=0,"",VLOOKUP($A85,'Pre-Assessment Estimator'!$A$10:$Z$224,F$2,FALSE))</f>
        <v/>
      </c>
      <c r="G85" s="1239">
        <f>VLOOKUP($A85,'Pre-Assessment Estimator'!$A$10:$Z$224,G$2,FALSE)</f>
        <v>0</v>
      </c>
      <c r="H85" s="583" t="str">
        <f>VLOOKUP($A85,'Pre-Assessment Estimator'!$A$10:$Z$224,H$2,FALSE)</f>
        <v>N/A</v>
      </c>
      <c r="I85" s="584" t="str">
        <f>IF(VLOOKUP($A85,'Pre-Assessment Estimator'!$A$10:$Z$224,I$2,FALSE)=0,"",VLOOKUP($A85,'Pre-Assessment Estimator'!$A$10:$Z$224,I$2,FALSE))</f>
        <v/>
      </c>
      <c r="J85" s="584" t="str">
        <f>IF(VLOOKUP($A85,'Pre-Assessment Estimator'!$A$10:$Z$224,J$2,FALSE)=0,"",VLOOKUP($A85,'Pre-Assessment Estimator'!$A$10:$Z$224,J$2,FALSE))</f>
        <v/>
      </c>
      <c r="K85" s="585" t="str">
        <f>IF(VLOOKUP($A85,'Pre-Assessment Estimator'!$A$10:$Z$224,K$2,FALSE)=0,"",VLOOKUP($A85,'Pre-Assessment Estimator'!$A$10:$Z$224,K$2,FALSE))</f>
        <v/>
      </c>
      <c r="L85" s="586"/>
      <c r="M85" s="587" t="str">
        <f>IF(VLOOKUP($A85,'Pre-Assessment Estimator'!$A$10:$Z$224,M$2,FALSE)=0,"",VLOOKUP($A85,'Pre-Assessment Estimator'!$A$10:$Z$224,M$2,FALSE))</f>
        <v/>
      </c>
      <c r="N85" s="582">
        <f>VLOOKUP($A85,'Pre-Assessment Estimator'!$A$10:$Z$224,N$2,FALSE)</f>
        <v>0</v>
      </c>
      <c r="O85" s="581" t="str">
        <f>VLOOKUP($A85,'Pre-Assessment Estimator'!$A$10:$Z$224,O$2,FALSE)</f>
        <v>N/A</v>
      </c>
      <c r="P85" s="584" t="str">
        <f>IF(VLOOKUP($A85,'Pre-Assessment Estimator'!$A$10:$Z$224,P$2,FALSE)=0,"",VLOOKUP($A85,'Pre-Assessment Estimator'!$A$10:$Z$224,P$2,FALSE))</f>
        <v/>
      </c>
      <c r="Q85" s="584" t="str">
        <f>IF(VLOOKUP($A85,'Pre-Assessment Estimator'!$A$10:$Z$224,Q$2,FALSE)=0,"",VLOOKUP($A85,'Pre-Assessment Estimator'!$A$10:$Z$224,Q$2,FALSE))</f>
        <v/>
      </c>
      <c r="R85" s="585" t="str">
        <f>IF(VLOOKUP($A85,'Pre-Assessment Estimator'!$A$10:$Z$224,R$2,FALSE)=0,"",VLOOKUP($A85,'Pre-Assessment Estimator'!$A$10:$Z$224,R$2,FALSE))</f>
        <v/>
      </c>
      <c r="S85" s="588"/>
      <c r="T85" s="587" t="str">
        <f>IF(VLOOKUP($A85,'Pre-Assessment Estimator'!$A$10:$Z$224,T$2,FALSE)=0,"",VLOOKUP($A85,'Pre-Assessment Estimator'!$A$10:$Z$224,T$2,FALSE))</f>
        <v/>
      </c>
      <c r="U85" s="582">
        <f>VLOOKUP($A85,'Pre-Assessment Estimator'!$A$10:$Z$224,U$2,FALSE)</f>
        <v>0</v>
      </c>
      <c r="V85" s="581" t="str">
        <f>VLOOKUP($A85,'Pre-Assessment Estimator'!$A$10:$Z$224,V$2,FALSE)</f>
        <v>N/A</v>
      </c>
      <c r="W85" s="584" t="str">
        <f>IF(VLOOKUP($A85,'Pre-Assessment Estimator'!$A$10:$Z$224,W$2,FALSE)=0,"",VLOOKUP($A85,'Pre-Assessment Estimator'!$A$10:$Z$224,W$2,FALSE))</f>
        <v/>
      </c>
      <c r="X85" s="584" t="str">
        <f>IF(VLOOKUP($A85,'Pre-Assessment Estimator'!$A$10:$Z$224,X$2,FALSE)=0,"",VLOOKUP($A85,'Pre-Assessment Estimator'!$A$10:$Z$224,X$2,FALSE))</f>
        <v/>
      </c>
      <c r="Y85" s="370" t="str">
        <f>IF(VLOOKUP($A85,'Pre-Assessment Estimator'!$A$10:$Z$224,Y$2,FALSE)=0,"",VLOOKUP($A85,'Pre-Assessment Estimator'!$A$10:$Z$224,Y$2,FALSE))</f>
        <v/>
      </c>
      <c r="Z85" s="705"/>
      <c r="AA85" s="584"/>
      <c r="AE85" s="386">
        <f t="shared" si="1"/>
        <v>1</v>
      </c>
      <c r="AF85" s="95" t="e">
        <f>VLOOKUP(J85,'Assessment Details'!$O$45:$P$48,2,FALSE)</f>
        <v>#N/A</v>
      </c>
      <c r="AG85" s="95" t="e">
        <f>VLOOKUP(Q85,'Assessment Details'!$O$45:$P$48,2,FALSE)</f>
        <v>#N/A</v>
      </c>
      <c r="AH85" s="95" t="e">
        <f>VLOOKUP(X85,'Assessment Details'!$O$45:$P$48,2,FALSE)</f>
        <v>#N/A</v>
      </c>
    </row>
    <row r="86" spans="1:34" x14ac:dyDescent="0.25">
      <c r="A86" s="836">
        <v>77</v>
      </c>
      <c r="B86" s="1262"/>
      <c r="C86" s="1262"/>
      <c r="D86" s="993" t="str">
        <f>VLOOKUP($A86,'Pre-Assessment Estimator'!$A$10:$Z$224,D$2,FALSE)</f>
        <v>Ene 07 Energy Efficient Laboratory Systems</v>
      </c>
      <c r="E86" s="581">
        <f>VLOOKUP($A86,'Pre-Assessment Estimator'!$A$10:$Z$224,E$2,FALSE)</f>
        <v>5</v>
      </c>
      <c r="F86" s="587" t="str">
        <f>IF(VLOOKUP($A86,'Pre-Assessment Estimator'!$A$10:$Z$224,F$2,FALSE)=0,"",VLOOKUP($A86,'Pre-Assessment Estimator'!$A$10:$Z$224,F$2,FALSE))</f>
        <v/>
      </c>
      <c r="G86" s="1239" t="str">
        <f>VLOOKUP($A86,'Pre-Assessment Estimator'!$A$10:$Z$224,G$2,FALSE)</f>
        <v>0 c. 0 %</v>
      </c>
      <c r="H86" s="583" t="str">
        <f>VLOOKUP($A86,'Pre-Assessment Estimator'!$A$10:$Z$224,H$2,FALSE)</f>
        <v>N/A</v>
      </c>
      <c r="I86" s="584" t="str">
        <f>IF(VLOOKUP($A86,'Pre-Assessment Estimator'!$A$10:$Z$224,I$2,FALSE)=0,"",VLOOKUP($A86,'Pre-Assessment Estimator'!$A$10:$Z$224,I$2,FALSE))</f>
        <v/>
      </c>
      <c r="J86" s="584" t="str">
        <f>IF(VLOOKUP($A86,'Pre-Assessment Estimator'!$A$10:$Z$224,J$2,FALSE)=0,"",VLOOKUP($A86,'Pre-Assessment Estimator'!$A$10:$Z$224,J$2,FALSE))</f>
        <v/>
      </c>
      <c r="K86" s="585" t="str">
        <f>IF(VLOOKUP($A86,'Pre-Assessment Estimator'!$A$10:$Z$224,K$2,FALSE)=0,"",VLOOKUP($A86,'Pre-Assessment Estimator'!$A$10:$Z$224,K$2,FALSE))</f>
        <v/>
      </c>
      <c r="L86" s="586"/>
      <c r="M86" s="587" t="str">
        <f>IF(VLOOKUP($A86,'Pre-Assessment Estimator'!$A$10:$Z$224,M$2,FALSE)=0,"",VLOOKUP($A86,'Pre-Assessment Estimator'!$A$10:$Z$224,M$2,FALSE))</f>
        <v/>
      </c>
      <c r="N86" s="582" t="str">
        <f>VLOOKUP($A86,'Pre-Assessment Estimator'!$A$10:$Z$224,N$2,FALSE)</f>
        <v>0 c. 0 %</v>
      </c>
      <c r="O86" s="581" t="str">
        <f>VLOOKUP($A86,'Pre-Assessment Estimator'!$A$10:$Z$224,O$2,FALSE)</f>
        <v>N/A</v>
      </c>
      <c r="P86" s="584" t="str">
        <f>IF(VLOOKUP($A86,'Pre-Assessment Estimator'!$A$10:$Z$224,P$2,FALSE)=0,"",VLOOKUP($A86,'Pre-Assessment Estimator'!$A$10:$Z$224,P$2,FALSE))</f>
        <v/>
      </c>
      <c r="Q86" s="584" t="str">
        <f>IF(VLOOKUP($A86,'Pre-Assessment Estimator'!$A$10:$Z$224,Q$2,FALSE)=0,"",VLOOKUP($A86,'Pre-Assessment Estimator'!$A$10:$Z$224,Q$2,FALSE))</f>
        <v/>
      </c>
      <c r="R86" s="585" t="str">
        <f>IF(VLOOKUP($A86,'Pre-Assessment Estimator'!$A$10:$Z$224,R$2,FALSE)=0,"",VLOOKUP($A86,'Pre-Assessment Estimator'!$A$10:$Z$224,R$2,FALSE))</f>
        <v/>
      </c>
      <c r="S86" s="588"/>
      <c r="T86" s="587" t="str">
        <f>IF(VLOOKUP($A86,'Pre-Assessment Estimator'!$A$10:$Z$224,T$2,FALSE)=0,"",VLOOKUP($A86,'Pre-Assessment Estimator'!$A$10:$Z$224,T$2,FALSE))</f>
        <v/>
      </c>
      <c r="U86" s="582" t="str">
        <f>VLOOKUP($A86,'Pre-Assessment Estimator'!$A$10:$Z$224,U$2,FALSE)</f>
        <v>0 c. 0 %</v>
      </c>
      <c r="V86" s="581" t="str">
        <f>VLOOKUP($A86,'Pre-Assessment Estimator'!$A$10:$Z$224,V$2,FALSE)</f>
        <v>N/A</v>
      </c>
      <c r="W86" s="584" t="str">
        <f>IF(VLOOKUP($A86,'Pre-Assessment Estimator'!$A$10:$Z$224,W$2,FALSE)=0,"",VLOOKUP($A86,'Pre-Assessment Estimator'!$A$10:$Z$224,W$2,FALSE))</f>
        <v/>
      </c>
      <c r="X86" s="584" t="str">
        <f>IF(VLOOKUP($A86,'Pre-Assessment Estimator'!$A$10:$Z$224,X$2,FALSE)=0,"",VLOOKUP($A86,'Pre-Assessment Estimator'!$A$10:$Z$224,X$2,FALSE))</f>
        <v/>
      </c>
      <c r="Y86" s="370" t="str">
        <f>IF(VLOOKUP($A86,'Pre-Assessment Estimator'!$A$10:$Z$224,Y$2,FALSE)=0,"",VLOOKUP($A86,'Pre-Assessment Estimator'!$A$10:$Z$224,Y$2,FALSE))</f>
        <v/>
      </c>
      <c r="Z86" s="705"/>
      <c r="AA86" s="584"/>
      <c r="AE86" s="386">
        <f t="shared" si="1"/>
        <v>1</v>
      </c>
      <c r="AF86" s="95" t="e">
        <f>VLOOKUP(J86,'Assessment Details'!$O$45:$P$48,2,FALSE)</f>
        <v>#N/A</v>
      </c>
      <c r="AG86" s="95" t="e">
        <f>VLOOKUP(Q86,'Assessment Details'!$O$45:$P$48,2,FALSE)</f>
        <v>#N/A</v>
      </c>
      <c r="AH86" s="95" t="e">
        <f>VLOOKUP(X86,'Assessment Details'!$O$45:$P$48,2,FALSE)</f>
        <v>#N/A</v>
      </c>
    </row>
    <row r="87" spans="1:34" x14ac:dyDescent="0.25">
      <c r="A87" s="836">
        <v>78</v>
      </c>
      <c r="B87" s="1262"/>
      <c r="C87" s="1262"/>
      <c r="D87" s="340" t="str">
        <f>VLOOKUP($A87,'Pre-Assessment Estimator'!$A$10:$Z$224,D$2,FALSE)</f>
        <v xml:space="preserve">Design specification </v>
      </c>
      <c r="E87" s="581">
        <f>VLOOKUP($A87,'Pre-Assessment Estimator'!$A$10:$Z$224,E$2,FALSE)</f>
        <v>1</v>
      </c>
      <c r="F87" s="587" t="str">
        <f>IF(VLOOKUP($A87,'Pre-Assessment Estimator'!$A$10:$Z$224,F$2,FALSE)=0,"",VLOOKUP($A87,'Pre-Assessment Estimator'!$A$10:$Z$224,F$2,FALSE))</f>
        <v/>
      </c>
      <c r="G87" s="1239">
        <f>VLOOKUP($A87,'Pre-Assessment Estimator'!$A$10:$Z$224,G$2,FALSE)</f>
        <v>0</v>
      </c>
      <c r="H87" s="583" t="str">
        <f>VLOOKUP($A87,'Pre-Assessment Estimator'!$A$10:$Z$224,H$2,FALSE)</f>
        <v>Unclassified</v>
      </c>
      <c r="I87" s="584" t="str">
        <f>IF(VLOOKUP($A87,'Pre-Assessment Estimator'!$A$10:$Z$224,I$2,FALSE)=0,"",VLOOKUP($A87,'Pre-Assessment Estimator'!$A$10:$Z$224,I$2,FALSE))</f>
        <v/>
      </c>
      <c r="J87" s="584" t="str">
        <f>IF(VLOOKUP($A87,'Pre-Assessment Estimator'!$A$10:$Z$224,J$2,FALSE)=0,"",VLOOKUP($A87,'Pre-Assessment Estimator'!$A$10:$Z$224,J$2,FALSE))</f>
        <v/>
      </c>
      <c r="K87" s="585" t="str">
        <f>IF(VLOOKUP($A87,'Pre-Assessment Estimator'!$A$10:$Z$224,K$2,FALSE)=0,"",VLOOKUP($A87,'Pre-Assessment Estimator'!$A$10:$Z$224,K$2,FALSE))</f>
        <v/>
      </c>
      <c r="L87" s="586"/>
      <c r="M87" s="587" t="str">
        <f>IF(VLOOKUP($A87,'Pre-Assessment Estimator'!$A$10:$Z$224,M$2,FALSE)=0,"",VLOOKUP($A87,'Pre-Assessment Estimator'!$A$10:$Z$224,M$2,FALSE))</f>
        <v/>
      </c>
      <c r="N87" s="582">
        <f>VLOOKUP($A87,'Pre-Assessment Estimator'!$A$10:$Z$224,N$2,FALSE)</f>
        <v>0</v>
      </c>
      <c r="O87" s="581" t="str">
        <f>VLOOKUP($A87,'Pre-Assessment Estimator'!$A$10:$Z$224,O$2,FALSE)</f>
        <v>Unclassified</v>
      </c>
      <c r="P87" s="584" t="str">
        <f>IF(VLOOKUP($A87,'Pre-Assessment Estimator'!$A$10:$Z$224,P$2,FALSE)=0,"",VLOOKUP($A87,'Pre-Assessment Estimator'!$A$10:$Z$224,P$2,FALSE))</f>
        <v/>
      </c>
      <c r="Q87" s="584" t="str">
        <f>IF(VLOOKUP($A87,'Pre-Assessment Estimator'!$A$10:$Z$224,Q$2,FALSE)=0,"",VLOOKUP($A87,'Pre-Assessment Estimator'!$A$10:$Z$224,Q$2,FALSE))</f>
        <v/>
      </c>
      <c r="R87" s="585" t="str">
        <f>IF(VLOOKUP($A87,'Pre-Assessment Estimator'!$A$10:$Z$224,R$2,FALSE)=0,"",VLOOKUP($A87,'Pre-Assessment Estimator'!$A$10:$Z$224,R$2,FALSE))</f>
        <v/>
      </c>
      <c r="S87" s="588"/>
      <c r="T87" s="587" t="str">
        <f>IF(VLOOKUP($A87,'Pre-Assessment Estimator'!$A$10:$Z$224,T$2,FALSE)=0,"",VLOOKUP($A87,'Pre-Assessment Estimator'!$A$10:$Z$224,T$2,FALSE))</f>
        <v/>
      </c>
      <c r="U87" s="582">
        <f>VLOOKUP($A87,'Pre-Assessment Estimator'!$A$10:$Z$224,U$2,FALSE)</f>
        <v>0</v>
      </c>
      <c r="V87" s="581" t="str">
        <f>VLOOKUP($A87,'Pre-Assessment Estimator'!$A$10:$Z$224,V$2,FALSE)</f>
        <v>Unclassified</v>
      </c>
      <c r="W87" s="584" t="str">
        <f>IF(VLOOKUP($A87,'Pre-Assessment Estimator'!$A$10:$Z$224,W$2,FALSE)=0,"",VLOOKUP($A87,'Pre-Assessment Estimator'!$A$10:$Z$224,W$2,FALSE))</f>
        <v/>
      </c>
      <c r="X87" s="584" t="str">
        <f>IF(VLOOKUP($A87,'Pre-Assessment Estimator'!$A$10:$Z$224,X$2,FALSE)=0,"",VLOOKUP($A87,'Pre-Assessment Estimator'!$A$10:$Z$224,X$2,FALSE))</f>
        <v/>
      </c>
      <c r="Y87" s="370" t="str">
        <f>IF(VLOOKUP($A87,'Pre-Assessment Estimator'!$A$10:$Z$224,Y$2,FALSE)=0,"",VLOOKUP($A87,'Pre-Assessment Estimator'!$A$10:$Z$224,Y$2,FALSE))</f>
        <v/>
      </c>
      <c r="Z87" s="705"/>
      <c r="AA87" s="584"/>
      <c r="AE87" s="386">
        <f t="shared" si="1"/>
        <v>1</v>
      </c>
      <c r="AF87" s="95" t="e">
        <f>VLOOKUP(J87,'Assessment Details'!$O$45:$P$48,2,FALSE)</f>
        <v>#N/A</v>
      </c>
      <c r="AG87" s="95" t="e">
        <f>VLOOKUP(Q87,'Assessment Details'!$O$45:$P$48,2,FALSE)</f>
        <v>#N/A</v>
      </c>
      <c r="AH87" s="95" t="e">
        <f>VLOOKUP(X87,'Assessment Details'!$O$45:$P$48,2,FALSE)</f>
        <v>#N/A</v>
      </c>
    </row>
    <row r="88" spans="1:34" x14ac:dyDescent="0.25">
      <c r="A88" s="836">
        <v>79</v>
      </c>
      <c r="B88" s="1262"/>
      <c r="C88" s="1262"/>
      <c r="D88" s="340" t="str">
        <f>VLOOKUP($A88,'Pre-Assessment Estimator'!$A$10:$Z$224,D$2,FALSE)</f>
        <v xml:space="preserve">Best practice energy efficient measures </v>
      </c>
      <c r="E88" s="581">
        <f>VLOOKUP($A88,'Pre-Assessment Estimator'!$A$10:$Z$224,E$2,FALSE)</f>
        <v>4</v>
      </c>
      <c r="F88" s="587" t="str">
        <f>IF(VLOOKUP($A88,'Pre-Assessment Estimator'!$A$10:$Z$224,F$2,FALSE)=0,"",VLOOKUP($A88,'Pre-Assessment Estimator'!$A$10:$Z$224,F$2,FALSE))</f>
        <v/>
      </c>
      <c r="G88" s="1239">
        <f>VLOOKUP($A88,'Pre-Assessment Estimator'!$A$10:$Z$224,G$2,FALSE)</f>
        <v>0</v>
      </c>
      <c r="H88" s="583" t="str">
        <f>VLOOKUP($A88,'Pre-Assessment Estimator'!$A$10:$Z$224,H$2,FALSE)</f>
        <v>N/A</v>
      </c>
      <c r="I88" s="584" t="str">
        <f>IF(VLOOKUP($A88,'Pre-Assessment Estimator'!$A$10:$Z$224,I$2,FALSE)=0,"",VLOOKUP($A88,'Pre-Assessment Estimator'!$A$10:$Z$224,I$2,FALSE))</f>
        <v/>
      </c>
      <c r="J88" s="584" t="str">
        <f>IF(VLOOKUP($A88,'Pre-Assessment Estimator'!$A$10:$Z$224,J$2,FALSE)=0,"",VLOOKUP($A88,'Pre-Assessment Estimator'!$A$10:$Z$224,J$2,FALSE))</f>
        <v/>
      </c>
      <c r="K88" s="585" t="str">
        <f>IF(VLOOKUP($A88,'Pre-Assessment Estimator'!$A$10:$Z$224,K$2,FALSE)=0,"",VLOOKUP($A88,'Pre-Assessment Estimator'!$A$10:$Z$224,K$2,FALSE))</f>
        <v/>
      </c>
      <c r="L88" s="586"/>
      <c r="M88" s="587" t="str">
        <f>IF(VLOOKUP($A88,'Pre-Assessment Estimator'!$A$10:$Z$224,M$2,FALSE)=0,"",VLOOKUP($A88,'Pre-Assessment Estimator'!$A$10:$Z$224,M$2,FALSE))</f>
        <v/>
      </c>
      <c r="N88" s="582">
        <f>VLOOKUP($A88,'Pre-Assessment Estimator'!$A$10:$Z$224,N$2,FALSE)</f>
        <v>0</v>
      </c>
      <c r="O88" s="581" t="str">
        <f>VLOOKUP($A88,'Pre-Assessment Estimator'!$A$10:$Z$224,O$2,FALSE)</f>
        <v>N/A</v>
      </c>
      <c r="P88" s="584" t="str">
        <f>IF(VLOOKUP($A88,'Pre-Assessment Estimator'!$A$10:$Z$224,P$2,FALSE)=0,"",VLOOKUP($A88,'Pre-Assessment Estimator'!$A$10:$Z$224,P$2,FALSE))</f>
        <v/>
      </c>
      <c r="Q88" s="584" t="str">
        <f>IF(VLOOKUP($A88,'Pre-Assessment Estimator'!$A$10:$Z$224,Q$2,FALSE)=0,"",VLOOKUP($A88,'Pre-Assessment Estimator'!$A$10:$Z$224,Q$2,FALSE))</f>
        <v/>
      </c>
      <c r="R88" s="585" t="str">
        <f>IF(VLOOKUP($A88,'Pre-Assessment Estimator'!$A$10:$Z$224,R$2,FALSE)=0,"",VLOOKUP($A88,'Pre-Assessment Estimator'!$A$10:$Z$224,R$2,FALSE))</f>
        <v/>
      </c>
      <c r="S88" s="588"/>
      <c r="T88" s="587" t="str">
        <f>IF(VLOOKUP($A88,'Pre-Assessment Estimator'!$A$10:$Z$224,T$2,FALSE)=0,"",VLOOKUP($A88,'Pre-Assessment Estimator'!$A$10:$Z$224,T$2,FALSE))</f>
        <v/>
      </c>
      <c r="U88" s="582">
        <f>VLOOKUP($A88,'Pre-Assessment Estimator'!$A$10:$Z$224,U$2,FALSE)</f>
        <v>0</v>
      </c>
      <c r="V88" s="581" t="str">
        <f>VLOOKUP($A88,'Pre-Assessment Estimator'!$A$10:$Z$224,V$2,FALSE)</f>
        <v>N/A</v>
      </c>
      <c r="W88" s="584" t="str">
        <f>IF(VLOOKUP($A88,'Pre-Assessment Estimator'!$A$10:$Z$224,W$2,FALSE)=0,"",VLOOKUP($A88,'Pre-Assessment Estimator'!$A$10:$Z$224,W$2,FALSE))</f>
        <v/>
      </c>
      <c r="X88" s="584" t="str">
        <f>IF(VLOOKUP($A88,'Pre-Assessment Estimator'!$A$10:$Z$224,X$2,FALSE)=0,"",VLOOKUP($A88,'Pre-Assessment Estimator'!$A$10:$Z$224,X$2,FALSE))</f>
        <v/>
      </c>
      <c r="Y88" s="370" t="str">
        <f>IF(VLOOKUP($A88,'Pre-Assessment Estimator'!$A$10:$Z$224,Y$2,FALSE)=0,"",VLOOKUP($A88,'Pre-Assessment Estimator'!$A$10:$Z$224,Y$2,FALSE))</f>
        <v/>
      </c>
      <c r="Z88" s="705"/>
      <c r="AA88" s="584"/>
      <c r="AE88" s="386">
        <f t="shared" si="1"/>
        <v>1</v>
      </c>
      <c r="AF88" s="95" t="e">
        <f>VLOOKUP(J88,'Assessment Details'!$O$45:$P$48,2,FALSE)</f>
        <v>#N/A</v>
      </c>
      <c r="AG88" s="95" t="e">
        <f>VLOOKUP(Q88,'Assessment Details'!$O$45:$P$48,2,FALSE)</f>
        <v>#N/A</v>
      </c>
      <c r="AH88" s="95" t="e">
        <f>VLOOKUP(X88,'Assessment Details'!$O$45:$P$48,2,FALSE)</f>
        <v>#N/A</v>
      </c>
    </row>
    <row r="89" spans="1:34" x14ac:dyDescent="0.25">
      <c r="A89" s="836">
        <v>80</v>
      </c>
      <c r="B89" s="1262"/>
      <c r="C89" s="1262"/>
      <c r="D89" s="993" t="str">
        <f>VLOOKUP($A89,'Pre-Assessment Estimator'!$A$10:$Z$224,D$2,FALSE)</f>
        <v>Ene 08 Energy efficient equipment</v>
      </c>
      <c r="E89" s="581">
        <f>VLOOKUP($A89,'Pre-Assessment Estimator'!$A$10:$Z$224,E$2,FALSE)</f>
        <v>2</v>
      </c>
      <c r="F89" s="587" t="str">
        <f>IF(VLOOKUP($A89,'Pre-Assessment Estimator'!$A$10:$Z$224,F$2,FALSE)=0,"",VLOOKUP($A89,'Pre-Assessment Estimator'!$A$10:$Z$224,F$2,FALSE))</f>
        <v/>
      </c>
      <c r="G89" s="1239" t="str">
        <f>VLOOKUP($A89,'Pre-Assessment Estimator'!$A$10:$Z$224,G$2,FALSE)</f>
        <v>0 c. 0 %</v>
      </c>
      <c r="H89" s="583" t="str">
        <f>VLOOKUP($A89,'Pre-Assessment Estimator'!$A$10:$Z$224,H$2,FALSE)</f>
        <v>N/A</v>
      </c>
      <c r="I89" s="584" t="str">
        <f>IF(VLOOKUP($A89,'Pre-Assessment Estimator'!$A$10:$Z$224,I$2,FALSE)=0,"",VLOOKUP($A89,'Pre-Assessment Estimator'!$A$10:$Z$224,I$2,FALSE))</f>
        <v/>
      </c>
      <c r="J89" s="584" t="str">
        <f>IF(VLOOKUP($A89,'Pre-Assessment Estimator'!$A$10:$Z$224,J$2,FALSE)=0,"",VLOOKUP($A89,'Pre-Assessment Estimator'!$A$10:$Z$224,J$2,FALSE))</f>
        <v/>
      </c>
      <c r="K89" s="585" t="str">
        <f>IF(VLOOKUP($A89,'Pre-Assessment Estimator'!$A$10:$Z$224,K$2,FALSE)=0,"",VLOOKUP($A89,'Pre-Assessment Estimator'!$A$10:$Z$224,K$2,FALSE))</f>
        <v/>
      </c>
      <c r="L89" s="586"/>
      <c r="M89" s="587" t="str">
        <f>IF(VLOOKUP($A89,'Pre-Assessment Estimator'!$A$10:$Z$224,M$2,FALSE)=0,"",VLOOKUP($A89,'Pre-Assessment Estimator'!$A$10:$Z$224,M$2,FALSE))</f>
        <v/>
      </c>
      <c r="N89" s="582" t="str">
        <f>VLOOKUP($A89,'Pre-Assessment Estimator'!$A$10:$Z$224,N$2,FALSE)</f>
        <v>0 c. 0 %</v>
      </c>
      <c r="O89" s="581" t="str">
        <f>VLOOKUP($A89,'Pre-Assessment Estimator'!$A$10:$Z$224,O$2,FALSE)</f>
        <v>N/A</v>
      </c>
      <c r="P89" s="584" t="str">
        <f>IF(VLOOKUP($A89,'Pre-Assessment Estimator'!$A$10:$Z$224,P$2,FALSE)=0,"",VLOOKUP($A89,'Pre-Assessment Estimator'!$A$10:$Z$224,P$2,FALSE))</f>
        <v/>
      </c>
      <c r="Q89" s="584" t="str">
        <f>IF(VLOOKUP($A89,'Pre-Assessment Estimator'!$A$10:$Z$224,Q$2,FALSE)=0,"",VLOOKUP($A89,'Pre-Assessment Estimator'!$A$10:$Z$224,Q$2,FALSE))</f>
        <v/>
      </c>
      <c r="R89" s="585" t="str">
        <f>IF(VLOOKUP($A89,'Pre-Assessment Estimator'!$A$10:$Z$224,R$2,FALSE)=0,"",VLOOKUP($A89,'Pre-Assessment Estimator'!$A$10:$Z$224,R$2,FALSE))</f>
        <v/>
      </c>
      <c r="S89" s="588"/>
      <c r="T89" s="587" t="str">
        <f>IF(VLOOKUP($A89,'Pre-Assessment Estimator'!$A$10:$Z$224,T$2,FALSE)=0,"",VLOOKUP($A89,'Pre-Assessment Estimator'!$A$10:$Z$224,T$2,FALSE))</f>
        <v/>
      </c>
      <c r="U89" s="582" t="str">
        <f>VLOOKUP($A89,'Pre-Assessment Estimator'!$A$10:$Z$224,U$2,FALSE)</f>
        <v>0 c. 0 %</v>
      </c>
      <c r="V89" s="581" t="str">
        <f>VLOOKUP($A89,'Pre-Assessment Estimator'!$A$10:$Z$224,V$2,FALSE)</f>
        <v>N/A</v>
      </c>
      <c r="W89" s="584" t="str">
        <f>IF(VLOOKUP($A89,'Pre-Assessment Estimator'!$A$10:$Z$224,W$2,FALSE)=0,"",VLOOKUP($A89,'Pre-Assessment Estimator'!$A$10:$Z$224,W$2,FALSE))</f>
        <v/>
      </c>
      <c r="X89" s="584" t="str">
        <f>IF(VLOOKUP($A89,'Pre-Assessment Estimator'!$A$10:$Z$224,X$2,FALSE)=0,"",VLOOKUP($A89,'Pre-Assessment Estimator'!$A$10:$Z$224,X$2,FALSE))</f>
        <v/>
      </c>
      <c r="Y89" s="370" t="str">
        <f>IF(VLOOKUP($A89,'Pre-Assessment Estimator'!$A$10:$Z$224,Y$2,FALSE)=0,"",VLOOKUP($A89,'Pre-Assessment Estimator'!$A$10:$Z$224,Y$2,FALSE))</f>
        <v/>
      </c>
      <c r="Z89" s="705"/>
      <c r="AA89" s="584"/>
      <c r="AE89" s="386">
        <f t="shared" si="1"/>
        <v>1</v>
      </c>
      <c r="AF89" s="95" t="e">
        <f>VLOOKUP(J89,'Assessment Details'!$O$45:$P$48,2,FALSE)</f>
        <v>#N/A</v>
      </c>
      <c r="AG89" s="95" t="e">
        <f>VLOOKUP(Q89,'Assessment Details'!$O$45:$P$48,2,FALSE)</f>
        <v>#N/A</v>
      </c>
      <c r="AH89" s="95" t="e">
        <f>VLOOKUP(X89,'Assessment Details'!$O$45:$P$48,2,FALSE)</f>
        <v>#N/A</v>
      </c>
    </row>
    <row r="90" spans="1:34" ht="30" x14ac:dyDescent="0.25">
      <c r="A90" s="836">
        <v>81</v>
      </c>
      <c r="B90" s="1262"/>
      <c r="C90" s="1262"/>
      <c r="D90" s="340" t="str">
        <f>VLOOKUP($A90,'Pre-Assessment Estimator'!$A$10:$Z$224,D$2,FALSE)</f>
        <v xml:space="preserve">Reduction of the building's significant unregulated energy consumption </v>
      </c>
      <c r="E90" s="581">
        <f>VLOOKUP($A90,'Pre-Assessment Estimator'!$A$10:$Z$224,E$2,FALSE)</f>
        <v>2</v>
      </c>
      <c r="F90" s="587" t="str">
        <f>IF(VLOOKUP($A90,'Pre-Assessment Estimator'!$A$10:$Z$224,F$2,FALSE)=0,"",VLOOKUP($A90,'Pre-Assessment Estimator'!$A$10:$Z$224,F$2,FALSE))</f>
        <v/>
      </c>
      <c r="G90" s="1239">
        <f>VLOOKUP($A90,'Pre-Assessment Estimator'!$A$10:$Z$224,G$2,FALSE)</f>
        <v>0</v>
      </c>
      <c r="H90" s="583" t="str">
        <f>VLOOKUP($A90,'Pre-Assessment Estimator'!$A$10:$Z$224,H$2,FALSE)</f>
        <v>N/A</v>
      </c>
      <c r="I90" s="584" t="str">
        <f>IF(VLOOKUP($A90,'Pre-Assessment Estimator'!$A$10:$Z$224,I$2,FALSE)=0,"",VLOOKUP($A90,'Pre-Assessment Estimator'!$A$10:$Z$224,I$2,FALSE))</f>
        <v/>
      </c>
      <c r="J90" s="584" t="str">
        <f>IF(VLOOKUP($A90,'Pre-Assessment Estimator'!$A$10:$Z$224,J$2,FALSE)=0,"",VLOOKUP($A90,'Pre-Assessment Estimator'!$A$10:$Z$224,J$2,FALSE))</f>
        <v/>
      </c>
      <c r="K90" s="585" t="str">
        <f>IF(VLOOKUP($A90,'Pre-Assessment Estimator'!$A$10:$Z$224,K$2,FALSE)=0,"",VLOOKUP($A90,'Pre-Assessment Estimator'!$A$10:$Z$224,K$2,FALSE))</f>
        <v/>
      </c>
      <c r="L90" s="586"/>
      <c r="M90" s="587" t="str">
        <f>IF(VLOOKUP($A90,'Pre-Assessment Estimator'!$A$10:$Z$224,M$2,FALSE)=0,"",VLOOKUP($A90,'Pre-Assessment Estimator'!$A$10:$Z$224,M$2,FALSE))</f>
        <v/>
      </c>
      <c r="N90" s="582">
        <f>VLOOKUP($A90,'Pre-Assessment Estimator'!$A$10:$Z$224,N$2,FALSE)</f>
        <v>0</v>
      </c>
      <c r="O90" s="581" t="str">
        <f>VLOOKUP($A90,'Pre-Assessment Estimator'!$A$10:$Z$224,O$2,FALSE)</f>
        <v>N/A</v>
      </c>
      <c r="P90" s="584" t="str">
        <f>IF(VLOOKUP($A90,'Pre-Assessment Estimator'!$A$10:$Z$224,P$2,FALSE)=0,"",VLOOKUP($A90,'Pre-Assessment Estimator'!$A$10:$Z$224,P$2,FALSE))</f>
        <v/>
      </c>
      <c r="Q90" s="584" t="str">
        <f>IF(VLOOKUP($A90,'Pre-Assessment Estimator'!$A$10:$Z$224,Q$2,FALSE)=0,"",VLOOKUP($A90,'Pre-Assessment Estimator'!$A$10:$Z$224,Q$2,FALSE))</f>
        <v/>
      </c>
      <c r="R90" s="585" t="str">
        <f>IF(VLOOKUP($A90,'Pre-Assessment Estimator'!$A$10:$Z$224,R$2,FALSE)=0,"",VLOOKUP($A90,'Pre-Assessment Estimator'!$A$10:$Z$224,R$2,FALSE))</f>
        <v/>
      </c>
      <c r="S90" s="588"/>
      <c r="T90" s="587" t="str">
        <f>IF(VLOOKUP($A90,'Pre-Assessment Estimator'!$A$10:$Z$224,T$2,FALSE)=0,"",VLOOKUP($A90,'Pre-Assessment Estimator'!$A$10:$Z$224,T$2,FALSE))</f>
        <v/>
      </c>
      <c r="U90" s="582">
        <f>VLOOKUP($A90,'Pre-Assessment Estimator'!$A$10:$Z$224,U$2,FALSE)</f>
        <v>0</v>
      </c>
      <c r="V90" s="581" t="str">
        <f>VLOOKUP($A90,'Pre-Assessment Estimator'!$A$10:$Z$224,V$2,FALSE)</f>
        <v>N/A</v>
      </c>
      <c r="W90" s="584" t="str">
        <f>IF(VLOOKUP($A90,'Pre-Assessment Estimator'!$A$10:$Z$224,W$2,FALSE)=0,"",VLOOKUP($A90,'Pre-Assessment Estimator'!$A$10:$Z$224,W$2,FALSE))</f>
        <v/>
      </c>
      <c r="X90" s="584" t="str">
        <f>IF(VLOOKUP($A90,'Pre-Assessment Estimator'!$A$10:$Z$224,X$2,FALSE)=0,"",VLOOKUP($A90,'Pre-Assessment Estimator'!$A$10:$Z$224,X$2,FALSE))</f>
        <v/>
      </c>
      <c r="Y90" s="370" t="str">
        <f>IF(VLOOKUP($A90,'Pre-Assessment Estimator'!$A$10:$Z$224,Y$2,FALSE)=0,"",VLOOKUP($A90,'Pre-Assessment Estimator'!$A$10:$Z$224,Y$2,FALSE))</f>
        <v/>
      </c>
      <c r="Z90" s="705"/>
      <c r="AA90" s="584"/>
      <c r="AE90" s="386">
        <f t="shared" si="1"/>
        <v>1</v>
      </c>
      <c r="AF90" s="95" t="e">
        <f>VLOOKUP(J90,'Assessment Details'!$O$45:$P$48,2,FALSE)</f>
        <v>#N/A</v>
      </c>
      <c r="AG90" s="95" t="e">
        <f>VLOOKUP(Q90,'Assessment Details'!$O$45:$P$48,2,FALSE)</f>
        <v>#N/A</v>
      </c>
      <c r="AH90" s="95" t="e">
        <f>VLOOKUP(X90,'Assessment Details'!$O$45:$P$48,2,FALSE)</f>
        <v>#N/A</v>
      </c>
    </row>
    <row r="91" spans="1:34" ht="30.75" thickBot="1" x14ac:dyDescent="0.3">
      <c r="A91" s="836">
        <v>82</v>
      </c>
      <c r="B91" s="1262" t="s">
        <v>68</v>
      </c>
      <c r="C91" s="1262"/>
      <c r="D91" s="341" t="str">
        <f>VLOOKUP($A91,'Pre-Assessment Estimator'!$A$10:$Z$224,D$2,FALSE)</f>
        <v>Total performance energy</v>
      </c>
      <c r="E91" s="589">
        <f>VLOOKUP($A91,'Pre-Assessment Estimator'!$A$10:$Z$224,E$2,FALSE)</f>
        <v>27</v>
      </c>
      <c r="F91" s="591" t="str">
        <f>IF(VLOOKUP($A91,'Pre-Assessment Estimator'!$A$10:$Z$224,F$2,FALSE)=0,"",VLOOKUP($A91,'Pre-Assessment Estimator'!$A$10:$Z$224,F$2,FALSE))</f>
        <v/>
      </c>
      <c r="G91" s="590">
        <f>VLOOKUP($A91,'Pre-Assessment Estimator'!$A$10:$Z$224,G$2,FALSE)</f>
        <v>0</v>
      </c>
      <c r="H91" s="589" t="str">
        <f>VLOOKUP($A91,'Pre-Assessment Estimator'!$A$10:$Z$224,H$2,FALSE)</f>
        <v>Credits achieved: 0</v>
      </c>
      <c r="I91" s="1220" t="str">
        <f>IF(VLOOKUP($A91,'Pre-Assessment Estimator'!$A$10:$Z$224,I$2,FALSE)=0,"",VLOOKUP($A91,'Pre-Assessment Estimator'!$A$10:$Z$224,I$2,FALSE))</f>
        <v/>
      </c>
      <c r="J91" s="1220" t="str">
        <f>IF(VLOOKUP($A91,'Pre-Assessment Estimator'!$A$10:$Z$224,J$2,FALSE)=0,"",VLOOKUP($A91,'Pre-Assessment Estimator'!$A$10:$Z$224,J$2,FALSE))</f>
        <v/>
      </c>
      <c r="K91" s="1240" t="str">
        <f>IF(VLOOKUP($A91,'Pre-Assessment Estimator'!$A$10:$Z$224,K$2,FALSE)=0,"",VLOOKUP($A91,'Pre-Assessment Estimator'!$A$10:$Z$224,K$2,FALSE))</f>
        <v/>
      </c>
      <c r="L91" s="1241"/>
      <c r="M91" s="591" t="str">
        <f>IF(VLOOKUP($A91,'Pre-Assessment Estimator'!$A$10:$Z$224,M$2,FALSE)=0,"",VLOOKUP($A91,'Pre-Assessment Estimator'!$A$10:$Z$224,M$2,FALSE))</f>
        <v/>
      </c>
      <c r="N91" s="590">
        <f>VLOOKUP($A91,'Pre-Assessment Estimator'!$A$10:$Z$224,N$2,FALSE)</f>
        <v>0</v>
      </c>
      <c r="O91" s="589" t="str">
        <f>VLOOKUP($A91,'Pre-Assessment Estimator'!$A$10:$Z$224,O$2,FALSE)</f>
        <v>Credits achieved: 0</v>
      </c>
      <c r="P91" s="1220" t="str">
        <f>IF(VLOOKUP($A91,'Pre-Assessment Estimator'!$A$10:$Z$224,P$2,FALSE)=0,"",VLOOKUP($A91,'Pre-Assessment Estimator'!$A$10:$Z$224,P$2,FALSE))</f>
        <v/>
      </c>
      <c r="Q91" s="1220" t="str">
        <f>IF(VLOOKUP($A91,'Pre-Assessment Estimator'!$A$10:$Z$224,Q$2,FALSE)=0,"",VLOOKUP($A91,'Pre-Assessment Estimator'!$A$10:$Z$224,Q$2,FALSE))</f>
        <v/>
      </c>
      <c r="R91" s="1240" t="str">
        <f>IF(VLOOKUP($A91,'Pre-Assessment Estimator'!$A$10:$Z$224,R$2,FALSE)=0,"",VLOOKUP($A91,'Pre-Assessment Estimator'!$A$10:$Z$224,R$2,FALSE))</f>
        <v/>
      </c>
      <c r="S91" s="1242"/>
      <c r="T91" s="591" t="str">
        <f>IF(VLOOKUP($A91,'Pre-Assessment Estimator'!$A$10:$Z$224,T$2,FALSE)=0,"",VLOOKUP($A91,'Pre-Assessment Estimator'!$A$10:$Z$224,T$2,FALSE))</f>
        <v/>
      </c>
      <c r="U91" s="590">
        <f>VLOOKUP($A91,'Pre-Assessment Estimator'!$A$10:$Z$224,U$2,FALSE)</f>
        <v>0</v>
      </c>
      <c r="V91" s="589" t="str">
        <f>VLOOKUP($A91,'Pre-Assessment Estimator'!$A$10:$Z$224,V$2,FALSE)</f>
        <v>Credits achieved: 0</v>
      </c>
      <c r="W91" s="1220" t="str">
        <f>IF(VLOOKUP($A91,'Pre-Assessment Estimator'!$A$10:$Z$224,W$2,FALSE)=0,"",VLOOKUP($A91,'Pre-Assessment Estimator'!$A$10:$Z$224,W$2,FALSE))</f>
        <v/>
      </c>
      <c r="X91" s="1220" t="str">
        <f>IF(VLOOKUP($A91,'Pre-Assessment Estimator'!$A$10:$Z$224,X$2,FALSE)=0,"",VLOOKUP($A91,'Pre-Assessment Estimator'!$A$10:$Z$224,X$2,FALSE))</f>
        <v/>
      </c>
      <c r="Y91" s="1243" t="str">
        <f>IF(VLOOKUP($A91,'Pre-Assessment Estimator'!$A$10:$Z$224,Y$2,FALSE)=0,"",VLOOKUP($A91,'Pre-Assessment Estimator'!$A$10:$Z$224,Y$2,FALSE))</f>
        <v/>
      </c>
      <c r="Z91" s="705"/>
      <c r="AA91" s="584" t="str">
        <f>IF(VLOOKUP($A91,'Pre-Assessment Estimator'!$A$10:$AB$224,AA$2,FALSE)=0,"",VLOOKUP($A91,'Pre-Assessment Estimator'!$A$10:$AB$224,AA$2,FALSE))</f>
        <v/>
      </c>
      <c r="AE91" s="386">
        <f t="shared" si="1"/>
        <v>1</v>
      </c>
      <c r="AF91" s="276">
        <v>0</v>
      </c>
      <c r="AG91" s="276">
        <v>0</v>
      </c>
      <c r="AH91" s="276">
        <v>0</v>
      </c>
    </row>
    <row r="92" spans="1:34" x14ac:dyDescent="0.25">
      <c r="A92" s="836">
        <v>83</v>
      </c>
      <c r="B92" s="1262" t="s">
        <v>68</v>
      </c>
      <c r="C92" s="1262"/>
      <c r="D92" s="592"/>
      <c r="E92" s="593"/>
      <c r="F92" s="593"/>
      <c r="G92" s="593"/>
      <c r="H92" s="593"/>
      <c r="I92" s="592"/>
      <c r="J92" s="593"/>
      <c r="K92" s="592"/>
      <c r="L92" s="586"/>
      <c r="M92" s="593"/>
      <c r="N92" s="593"/>
      <c r="O92" s="593"/>
      <c r="P92" s="592"/>
      <c r="Q92" s="593"/>
      <c r="R92" s="592"/>
      <c r="S92" s="588"/>
      <c r="T92" s="593"/>
      <c r="U92" s="593"/>
      <c r="V92" s="593"/>
      <c r="W92" s="592"/>
      <c r="X92" s="593"/>
      <c r="Y92" s="343"/>
      <c r="Z92" s="706"/>
      <c r="AA92" s="592"/>
      <c r="AB92" s="389"/>
      <c r="AC92" s="389"/>
      <c r="AD92" s="389"/>
      <c r="AE92" s="386">
        <f t="shared" si="1"/>
        <v>1</v>
      </c>
      <c r="AF92" s="278">
        <v>0</v>
      </c>
      <c r="AG92" s="278">
        <v>0</v>
      </c>
      <c r="AH92" s="278">
        <v>0</v>
      </c>
    </row>
    <row r="93" spans="1:34" ht="18.75" x14ac:dyDescent="0.25">
      <c r="A93" s="836">
        <v>84</v>
      </c>
      <c r="B93" s="1262" t="s">
        <v>69</v>
      </c>
      <c r="C93" s="1262"/>
      <c r="D93" s="594" t="s">
        <v>69</v>
      </c>
      <c r="E93" s="577"/>
      <c r="F93" s="577"/>
      <c r="G93" s="577"/>
      <c r="H93" s="577"/>
      <c r="I93" s="578"/>
      <c r="J93" s="577"/>
      <c r="K93" s="578"/>
      <c r="L93" s="586"/>
      <c r="M93" s="577"/>
      <c r="N93" s="577"/>
      <c r="O93" s="577"/>
      <c r="P93" s="578"/>
      <c r="Q93" s="577"/>
      <c r="R93" s="578"/>
      <c r="S93" s="588"/>
      <c r="T93" s="577"/>
      <c r="U93" s="577"/>
      <c r="V93" s="577"/>
      <c r="W93" s="578"/>
      <c r="X93" s="577"/>
      <c r="Y93" s="411"/>
      <c r="Z93" s="704"/>
      <c r="AA93" s="708"/>
      <c r="AE93" s="386">
        <f t="shared" si="1"/>
        <v>1</v>
      </c>
      <c r="AF93" s="275">
        <v>0</v>
      </c>
      <c r="AG93" s="275">
        <v>0</v>
      </c>
      <c r="AH93" s="275">
        <v>0</v>
      </c>
    </row>
    <row r="94" spans="1:34" x14ac:dyDescent="0.25">
      <c r="A94" s="836">
        <v>85</v>
      </c>
      <c r="B94" s="1262" t="s">
        <v>69</v>
      </c>
      <c r="C94" s="1262"/>
      <c r="D94" s="993" t="str">
        <f>VLOOKUP($A94,'Pre-Assessment Estimator'!$A$10:$Z$224,D$2,FALSE)</f>
        <v>Tra 01 Transport assessment and travel plan</v>
      </c>
      <c r="E94" s="581">
        <f>VLOOKUP($A94,'Pre-Assessment Estimator'!$A$10:$Z$224,E$2,FALSE)</f>
        <v>3</v>
      </c>
      <c r="F94" s="587" t="str">
        <f>IF(VLOOKUP($A94,'Pre-Assessment Estimator'!$A$10:$Z$224,F$2,FALSE)=0,"",VLOOKUP($A94,'Pre-Assessment Estimator'!$A$10:$Z$224,F$2,FALSE))</f>
        <v/>
      </c>
      <c r="G94" s="1239" t="str">
        <f>VLOOKUP($A94,'Pre-Assessment Estimator'!$A$10:$Z$224,G$2,FALSE)</f>
        <v>0 c. 0 %</v>
      </c>
      <c r="H94" s="583" t="str">
        <f>VLOOKUP($A94,'Pre-Assessment Estimator'!$A$10:$Z$224,H$2,FALSE)</f>
        <v>N/A</v>
      </c>
      <c r="I94" s="584" t="str">
        <f>IF(VLOOKUP($A94,'Pre-Assessment Estimator'!$A$10:$Z$224,I$2,FALSE)=0,"",VLOOKUP($A94,'Pre-Assessment Estimator'!$A$10:$Z$224,I$2,FALSE))</f>
        <v/>
      </c>
      <c r="J94" s="584" t="str">
        <f>IF(VLOOKUP($A94,'Pre-Assessment Estimator'!$A$10:$Z$224,J$2,FALSE)=0,"",VLOOKUP($A94,'Pre-Assessment Estimator'!$A$10:$Z$224,J$2,FALSE))</f>
        <v/>
      </c>
      <c r="K94" s="585" t="str">
        <f>IF(VLOOKUP($A94,'Pre-Assessment Estimator'!$A$10:$Z$224,K$2,FALSE)=0,"",VLOOKUP($A94,'Pre-Assessment Estimator'!$A$10:$Z$224,K$2,FALSE))</f>
        <v/>
      </c>
      <c r="L94" s="586"/>
      <c r="M94" s="587" t="str">
        <f>IF(VLOOKUP($A94,'Pre-Assessment Estimator'!$A$10:$Z$224,M$2,FALSE)=0,"",VLOOKUP($A94,'Pre-Assessment Estimator'!$A$10:$Z$224,M$2,FALSE))</f>
        <v/>
      </c>
      <c r="N94" s="582" t="str">
        <f>VLOOKUP($A94,'Pre-Assessment Estimator'!$A$10:$Z$224,N$2,FALSE)</f>
        <v>0 c. 0 %</v>
      </c>
      <c r="O94" s="581" t="str">
        <f>VLOOKUP($A94,'Pre-Assessment Estimator'!$A$10:$Z$224,O$2,FALSE)</f>
        <v>N/A</v>
      </c>
      <c r="P94" s="584" t="str">
        <f>IF(VLOOKUP($A94,'Pre-Assessment Estimator'!$A$10:$Z$224,P$2,FALSE)=0,"",VLOOKUP($A94,'Pre-Assessment Estimator'!$A$10:$Z$224,P$2,FALSE))</f>
        <v/>
      </c>
      <c r="Q94" s="584" t="str">
        <f>IF(VLOOKUP($A94,'Pre-Assessment Estimator'!$A$10:$Z$224,Q$2,FALSE)=0,"",VLOOKUP($A94,'Pre-Assessment Estimator'!$A$10:$Z$224,Q$2,FALSE))</f>
        <v/>
      </c>
      <c r="R94" s="585" t="str">
        <f>IF(VLOOKUP($A94,'Pre-Assessment Estimator'!$A$10:$Z$224,R$2,FALSE)=0,"",VLOOKUP($A94,'Pre-Assessment Estimator'!$A$10:$Z$224,R$2,FALSE))</f>
        <v/>
      </c>
      <c r="S94" s="588"/>
      <c r="T94" s="587" t="str">
        <f>IF(VLOOKUP($A94,'Pre-Assessment Estimator'!$A$10:$Z$224,T$2,FALSE)=0,"",VLOOKUP($A94,'Pre-Assessment Estimator'!$A$10:$Z$224,T$2,FALSE))</f>
        <v/>
      </c>
      <c r="U94" s="582" t="str">
        <f>VLOOKUP($A94,'Pre-Assessment Estimator'!$A$10:$Z$224,U$2,FALSE)</f>
        <v>0 c. 0 %</v>
      </c>
      <c r="V94" s="581" t="str">
        <f>VLOOKUP($A94,'Pre-Assessment Estimator'!$A$10:$Z$224,V$2,FALSE)</f>
        <v>N/A</v>
      </c>
      <c r="W94" s="584" t="str">
        <f>IF(VLOOKUP($A94,'Pre-Assessment Estimator'!$A$10:$Z$224,W$2,FALSE)=0,"",VLOOKUP($A94,'Pre-Assessment Estimator'!$A$10:$Z$224,W$2,FALSE))</f>
        <v/>
      </c>
      <c r="X94" s="584" t="str">
        <f>IF(VLOOKUP($A94,'Pre-Assessment Estimator'!$A$10:$Z$224,X$2,FALSE)=0,"",VLOOKUP($A94,'Pre-Assessment Estimator'!$A$10:$Z$224,X$2,FALSE))</f>
        <v/>
      </c>
      <c r="Y94" s="370" t="str">
        <f>IF(VLOOKUP($A94,'Pre-Assessment Estimator'!$A$10:$Z$224,Y$2,FALSE)=0,"",VLOOKUP($A94,'Pre-Assessment Estimator'!$A$10:$Z$224,Y$2,FALSE))</f>
        <v/>
      </c>
      <c r="Z94" s="705"/>
      <c r="AA94" s="584" t="str">
        <f>IF(VLOOKUP($A94,'Pre-Assessment Estimator'!$A$10:$AB$224,AA$2,FALSE)=0,"",VLOOKUP($A94,'Pre-Assessment Estimator'!$A$10:$AB$224,AA$2,FALSE))</f>
        <v/>
      </c>
      <c r="AE94" s="386">
        <f t="shared" si="1"/>
        <v>1</v>
      </c>
      <c r="AF94" s="95" t="e">
        <f>VLOOKUP(J94,'Assessment Details'!$O$45:$P$48,2,FALSE)</f>
        <v>#N/A</v>
      </c>
      <c r="AG94" s="95" t="e">
        <f>VLOOKUP(Q94,'Assessment Details'!$O$45:$P$48,2,FALSE)</f>
        <v>#N/A</v>
      </c>
      <c r="AH94" s="95" t="e">
        <f>VLOOKUP(X94,'Assessment Details'!$O$45:$P$48,2,FALSE)</f>
        <v>#N/A</v>
      </c>
    </row>
    <row r="95" spans="1:34" x14ac:dyDescent="0.25">
      <c r="A95" s="836">
        <v>86</v>
      </c>
      <c r="B95" s="1262" t="s">
        <v>69</v>
      </c>
      <c r="C95" s="1262"/>
      <c r="D95" s="340" t="str">
        <f>VLOOKUP($A95,'Pre-Assessment Estimator'!$A$10:$Z$224,D$2,FALSE)</f>
        <v xml:space="preserve">Transport assessment and travel plan </v>
      </c>
      <c r="E95" s="581">
        <f>VLOOKUP($A95,'Pre-Assessment Estimator'!$A$10:$Z$224,E$2,FALSE)</f>
        <v>2</v>
      </c>
      <c r="F95" s="587" t="str">
        <f>IF(VLOOKUP($A95,'Pre-Assessment Estimator'!$A$10:$Z$224,F$2,FALSE)=0,"",VLOOKUP($A95,'Pre-Assessment Estimator'!$A$10:$Z$224,F$2,FALSE))</f>
        <v/>
      </c>
      <c r="G95" s="1239">
        <f>VLOOKUP($A95,'Pre-Assessment Estimator'!$A$10:$Z$224,G$2,FALSE)</f>
        <v>0</v>
      </c>
      <c r="H95" s="583" t="str">
        <f>VLOOKUP($A95,'Pre-Assessment Estimator'!$A$10:$Z$224,H$2,FALSE)</f>
        <v>N/A</v>
      </c>
      <c r="I95" s="584" t="str">
        <f>IF(VLOOKUP($A95,'Pre-Assessment Estimator'!$A$10:$Z$224,I$2,FALSE)=0,"",VLOOKUP($A95,'Pre-Assessment Estimator'!$A$10:$Z$224,I$2,FALSE))</f>
        <v/>
      </c>
      <c r="J95" s="584" t="str">
        <f>IF(VLOOKUP($A95,'Pre-Assessment Estimator'!$A$10:$Z$224,J$2,FALSE)=0,"",VLOOKUP($A95,'Pre-Assessment Estimator'!$A$10:$Z$224,J$2,FALSE))</f>
        <v/>
      </c>
      <c r="K95" s="585" t="str">
        <f>IF(VLOOKUP($A95,'Pre-Assessment Estimator'!$A$10:$Z$224,K$2,FALSE)=0,"",VLOOKUP($A95,'Pre-Assessment Estimator'!$A$10:$Z$224,K$2,FALSE))</f>
        <v/>
      </c>
      <c r="L95" s="586"/>
      <c r="M95" s="587" t="str">
        <f>IF(VLOOKUP($A95,'Pre-Assessment Estimator'!$A$10:$Z$224,M$2,FALSE)=0,"",VLOOKUP($A95,'Pre-Assessment Estimator'!$A$10:$Z$224,M$2,FALSE))</f>
        <v/>
      </c>
      <c r="N95" s="582">
        <f>VLOOKUP($A95,'Pre-Assessment Estimator'!$A$10:$Z$224,N$2,FALSE)</f>
        <v>0</v>
      </c>
      <c r="O95" s="581" t="str">
        <f>VLOOKUP($A95,'Pre-Assessment Estimator'!$A$10:$Z$224,O$2,FALSE)</f>
        <v>N/A</v>
      </c>
      <c r="P95" s="584" t="str">
        <f>IF(VLOOKUP($A95,'Pre-Assessment Estimator'!$A$10:$Z$224,P$2,FALSE)=0,"",VLOOKUP($A95,'Pre-Assessment Estimator'!$A$10:$Z$224,P$2,FALSE))</f>
        <v/>
      </c>
      <c r="Q95" s="584" t="str">
        <f>IF(VLOOKUP($A95,'Pre-Assessment Estimator'!$A$10:$Z$224,Q$2,FALSE)=0,"",VLOOKUP($A95,'Pre-Assessment Estimator'!$A$10:$Z$224,Q$2,FALSE))</f>
        <v/>
      </c>
      <c r="R95" s="585" t="str">
        <f>IF(VLOOKUP($A95,'Pre-Assessment Estimator'!$A$10:$Z$224,R$2,FALSE)=0,"",VLOOKUP($A95,'Pre-Assessment Estimator'!$A$10:$Z$224,R$2,FALSE))</f>
        <v/>
      </c>
      <c r="S95" s="588"/>
      <c r="T95" s="587" t="str">
        <f>IF(VLOOKUP($A95,'Pre-Assessment Estimator'!$A$10:$Z$224,T$2,FALSE)=0,"",VLOOKUP($A95,'Pre-Assessment Estimator'!$A$10:$Z$224,T$2,FALSE))</f>
        <v/>
      </c>
      <c r="U95" s="582">
        <f>VLOOKUP($A95,'Pre-Assessment Estimator'!$A$10:$Z$224,U$2,FALSE)</f>
        <v>0</v>
      </c>
      <c r="V95" s="581" t="str">
        <f>VLOOKUP($A95,'Pre-Assessment Estimator'!$A$10:$Z$224,V$2,FALSE)</f>
        <v>N/A</v>
      </c>
      <c r="W95" s="584" t="str">
        <f>IF(VLOOKUP($A95,'Pre-Assessment Estimator'!$A$10:$Z$224,W$2,FALSE)=0,"",VLOOKUP($A95,'Pre-Assessment Estimator'!$A$10:$Z$224,W$2,FALSE))</f>
        <v/>
      </c>
      <c r="X95" s="584" t="str">
        <f>IF(VLOOKUP($A95,'Pre-Assessment Estimator'!$A$10:$Z$224,X$2,FALSE)=0,"",VLOOKUP($A95,'Pre-Assessment Estimator'!$A$10:$Z$224,X$2,FALSE))</f>
        <v/>
      </c>
      <c r="Y95" s="370" t="str">
        <f>IF(VLOOKUP($A95,'Pre-Assessment Estimator'!$A$10:$Z$224,Y$2,FALSE)=0,"",VLOOKUP($A95,'Pre-Assessment Estimator'!$A$10:$Z$224,Y$2,FALSE))</f>
        <v/>
      </c>
      <c r="Z95" s="705"/>
      <c r="AA95" s="584" t="str">
        <f>IF(VLOOKUP($A95,'Pre-Assessment Estimator'!$A$10:$AB$224,AA$2,FALSE)=0,"",VLOOKUP($A95,'Pre-Assessment Estimator'!$A$10:$AB$224,AA$2,FALSE))</f>
        <v/>
      </c>
      <c r="AE95" s="386">
        <f t="shared" si="1"/>
        <v>1</v>
      </c>
      <c r="AF95" s="95" t="e">
        <f>VLOOKUP(J95,'Assessment Details'!$O$45:$P$48,2,FALSE)</f>
        <v>#N/A</v>
      </c>
      <c r="AG95" s="95" t="e">
        <f>VLOOKUP(Q95,'Assessment Details'!$O$45:$P$48,2,FALSE)</f>
        <v>#N/A</v>
      </c>
      <c r="AH95" s="95" t="e">
        <f>VLOOKUP(X95,'Assessment Details'!$O$45:$P$48,2,FALSE)</f>
        <v>#N/A</v>
      </c>
    </row>
    <row r="96" spans="1:34" x14ac:dyDescent="0.25">
      <c r="A96" s="836">
        <v>87</v>
      </c>
      <c r="B96" s="1262" t="s">
        <v>69</v>
      </c>
      <c r="C96" s="1262"/>
      <c r="D96" s="340" t="str">
        <f>VLOOKUP($A96,'Pre-Assessment Estimator'!$A$10:$Z$224,D$2,FALSE)</f>
        <v xml:space="preserve">Travel plan emissions evaluation </v>
      </c>
      <c r="E96" s="581">
        <f>VLOOKUP($A96,'Pre-Assessment Estimator'!$A$10:$Z$224,E$2,FALSE)</f>
        <v>1</v>
      </c>
      <c r="F96" s="587" t="str">
        <f>IF(VLOOKUP($A96,'Pre-Assessment Estimator'!$A$10:$Z$224,F$2,FALSE)=0,"",VLOOKUP($A96,'Pre-Assessment Estimator'!$A$10:$Z$224,F$2,FALSE))</f>
        <v/>
      </c>
      <c r="G96" s="1239">
        <f>VLOOKUP($A96,'Pre-Assessment Estimator'!$A$10:$Z$224,G$2,FALSE)</f>
        <v>0</v>
      </c>
      <c r="H96" s="583" t="str">
        <f>VLOOKUP($A96,'Pre-Assessment Estimator'!$A$10:$Z$224,H$2,FALSE)</f>
        <v>Very Good</v>
      </c>
      <c r="I96" s="584" t="str">
        <f>IF(VLOOKUP($A96,'Pre-Assessment Estimator'!$A$10:$Z$224,I$2,FALSE)=0,"",VLOOKUP($A96,'Pre-Assessment Estimator'!$A$10:$Z$224,I$2,FALSE))</f>
        <v/>
      </c>
      <c r="J96" s="584" t="str">
        <f>IF(VLOOKUP($A96,'Pre-Assessment Estimator'!$A$10:$Z$224,J$2,FALSE)=0,"",VLOOKUP($A96,'Pre-Assessment Estimator'!$A$10:$Z$224,J$2,FALSE))</f>
        <v/>
      </c>
      <c r="K96" s="585" t="str">
        <f>IF(VLOOKUP($A96,'Pre-Assessment Estimator'!$A$10:$Z$224,K$2,FALSE)=0,"",VLOOKUP($A96,'Pre-Assessment Estimator'!$A$10:$Z$224,K$2,FALSE))</f>
        <v/>
      </c>
      <c r="L96" s="586"/>
      <c r="M96" s="587" t="str">
        <f>IF(VLOOKUP($A96,'Pre-Assessment Estimator'!$A$10:$Z$224,M$2,FALSE)=0,"",VLOOKUP($A96,'Pre-Assessment Estimator'!$A$10:$Z$224,M$2,FALSE))</f>
        <v/>
      </c>
      <c r="N96" s="582">
        <f>VLOOKUP($A96,'Pre-Assessment Estimator'!$A$10:$Z$224,N$2,FALSE)</f>
        <v>0</v>
      </c>
      <c r="O96" s="581" t="str">
        <f>VLOOKUP($A96,'Pre-Assessment Estimator'!$A$10:$Z$224,O$2,FALSE)</f>
        <v>Very Good</v>
      </c>
      <c r="P96" s="584" t="str">
        <f>IF(VLOOKUP($A96,'Pre-Assessment Estimator'!$A$10:$Z$224,P$2,FALSE)=0,"",VLOOKUP($A96,'Pre-Assessment Estimator'!$A$10:$Z$224,P$2,FALSE))</f>
        <v/>
      </c>
      <c r="Q96" s="584" t="str">
        <f>IF(VLOOKUP($A96,'Pre-Assessment Estimator'!$A$10:$Z$224,Q$2,FALSE)=0,"",VLOOKUP($A96,'Pre-Assessment Estimator'!$A$10:$Z$224,Q$2,FALSE))</f>
        <v/>
      </c>
      <c r="R96" s="585" t="str">
        <f>IF(VLOOKUP($A96,'Pre-Assessment Estimator'!$A$10:$Z$224,R$2,FALSE)=0,"",VLOOKUP($A96,'Pre-Assessment Estimator'!$A$10:$Z$224,R$2,FALSE))</f>
        <v/>
      </c>
      <c r="S96" s="588"/>
      <c r="T96" s="587" t="str">
        <f>IF(VLOOKUP($A96,'Pre-Assessment Estimator'!$A$10:$Z$224,T$2,FALSE)=0,"",VLOOKUP($A96,'Pre-Assessment Estimator'!$A$10:$Z$224,T$2,FALSE))</f>
        <v/>
      </c>
      <c r="U96" s="582">
        <f>VLOOKUP($A96,'Pre-Assessment Estimator'!$A$10:$Z$224,U$2,FALSE)</f>
        <v>0</v>
      </c>
      <c r="V96" s="581" t="str">
        <f>VLOOKUP($A96,'Pre-Assessment Estimator'!$A$10:$Z$224,V$2,FALSE)</f>
        <v>Very Good</v>
      </c>
      <c r="W96" s="584" t="str">
        <f>IF(VLOOKUP($A96,'Pre-Assessment Estimator'!$A$10:$Z$224,W$2,FALSE)=0,"",VLOOKUP($A96,'Pre-Assessment Estimator'!$A$10:$Z$224,W$2,FALSE))</f>
        <v/>
      </c>
      <c r="X96" s="584" t="str">
        <f>IF(VLOOKUP($A96,'Pre-Assessment Estimator'!$A$10:$Z$224,X$2,FALSE)=0,"",VLOOKUP($A96,'Pre-Assessment Estimator'!$A$10:$Z$224,X$2,FALSE))</f>
        <v/>
      </c>
      <c r="Y96" s="370" t="str">
        <f>IF(VLOOKUP($A96,'Pre-Assessment Estimator'!$A$10:$Z$224,Y$2,FALSE)=0,"",VLOOKUP($A96,'Pre-Assessment Estimator'!$A$10:$Z$224,Y$2,FALSE))</f>
        <v/>
      </c>
      <c r="Z96" s="705"/>
      <c r="AA96" s="584" t="str">
        <f>IF(VLOOKUP($A96,'Pre-Assessment Estimator'!$A$10:$AB$224,AA$2,FALSE)=0,"",VLOOKUP($A96,'Pre-Assessment Estimator'!$A$10:$AB$224,AA$2,FALSE))</f>
        <v/>
      </c>
      <c r="AE96" s="386">
        <f t="shared" si="1"/>
        <v>1</v>
      </c>
      <c r="AF96" s="95" t="e">
        <f>VLOOKUP(J96,'Assessment Details'!$O$45:$P$48,2,FALSE)</f>
        <v>#N/A</v>
      </c>
      <c r="AG96" s="95" t="e">
        <f>VLOOKUP(Q96,'Assessment Details'!$O$45:$P$48,2,FALSE)</f>
        <v>#N/A</v>
      </c>
      <c r="AH96" s="95" t="e">
        <f>VLOOKUP(X96,'Assessment Details'!$O$45:$P$48,2,FALSE)</f>
        <v>#N/A</v>
      </c>
    </row>
    <row r="97" spans="1:34" x14ac:dyDescent="0.25">
      <c r="A97" s="836">
        <v>88</v>
      </c>
      <c r="B97" s="1262" t="s">
        <v>69</v>
      </c>
      <c r="C97" s="1262"/>
      <c r="D97" s="993" t="str">
        <f>VLOOKUP($A97,'Pre-Assessment Estimator'!$A$10:$Z$224,D$2,FALSE)</f>
        <v>Tra 02 Sustainable transport measures</v>
      </c>
      <c r="E97" s="581">
        <f>VLOOKUP($A97,'Pre-Assessment Estimator'!$A$10:$Z$224,E$2,FALSE)</f>
        <v>10</v>
      </c>
      <c r="F97" s="587" t="str">
        <f>IF(VLOOKUP($A97,'Pre-Assessment Estimator'!$A$10:$Z$224,F$2,FALSE)=0,"",VLOOKUP($A97,'Pre-Assessment Estimator'!$A$10:$Z$224,F$2,FALSE))</f>
        <v/>
      </c>
      <c r="G97" s="1239" t="str">
        <f>VLOOKUP($A97,'Pre-Assessment Estimator'!$A$10:$Z$224,G$2,FALSE)</f>
        <v>0 c. 0 %</v>
      </c>
      <c r="H97" s="583" t="str">
        <f>VLOOKUP($A97,'Pre-Assessment Estimator'!$A$10:$Z$224,H$2,FALSE)</f>
        <v>N/A</v>
      </c>
      <c r="I97" s="584" t="str">
        <f>IF(VLOOKUP($A97,'Pre-Assessment Estimator'!$A$10:$Z$224,I$2,FALSE)=0,"",VLOOKUP($A97,'Pre-Assessment Estimator'!$A$10:$Z$224,I$2,FALSE))</f>
        <v/>
      </c>
      <c r="J97" s="584" t="str">
        <f>IF(VLOOKUP($A97,'Pre-Assessment Estimator'!$A$10:$Z$224,J$2,FALSE)=0,"",VLOOKUP($A97,'Pre-Assessment Estimator'!$A$10:$Z$224,J$2,FALSE))</f>
        <v/>
      </c>
      <c r="K97" s="585" t="str">
        <f>IF(VLOOKUP($A97,'Pre-Assessment Estimator'!$A$10:$Z$224,K$2,FALSE)=0,"",VLOOKUP($A97,'Pre-Assessment Estimator'!$A$10:$Z$224,K$2,FALSE))</f>
        <v/>
      </c>
      <c r="L97" s="586"/>
      <c r="M97" s="587" t="str">
        <f>IF(VLOOKUP($A97,'Pre-Assessment Estimator'!$A$10:$Z$224,M$2,FALSE)=0,"",VLOOKUP($A97,'Pre-Assessment Estimator'!$A$10:$Z$224,M$2,FALSE))</f>
        <v/>
      </c>
      <c r="N97" s="582" t="str">
        <f>VLOOKUP($A97,'Pre-Assessment Estimator'!$A$10:$Z$224,N$2,FALSE)</f>
        <v>0 c. 0 %</v>
      </c>
      <c r="O97" s="581" t="str">
        <f>VLOOKUP($A97,'Pre-Assessment Estimator'!$A$10:$Z$224,O$2,FALSE)</f>
        <v>N/A</v>
      </c>
      <c r="P97" s="584" t="str">
        <f>IF(VLOOKUP($A97,'Pre-Assessment Estimator'!$A$10:$Z$224,P$2,FALSE)=0,"",VLOOKUP($A97,'Pre-Assessment Estimator'!$A$10:$Z$224,P$2,FALSE))</f>
        <v/>
      </c>
      <c r="Q97" s="584" t="str">
        <f>IF(VLOOKUP($A97,'Pre-Assessment Estimator'!$A$10:$Z$224,Q$2,FALSE)=0,"",VLOOKUP($A97,'Pre-Assessment Estimator'!$A$10:$Z$224,Q$2,FALSE))</f>
        <v/>
      </c>
      <c r="R97" s="585" t="str">
        <f>IF(VLOOKUP($A97,'Pre-Assessment Estimator'!$A$10:$Z$224,R$2,FALSE)=0,"",VLOOKUP($A97,'Pre-Assessment Estimator'!$A$10:$Z$224,R$2,FALSE))</f>
        <v/>
      </c>
      <c r="S97" s="588"/>
      <c r="T97" s="587" t="str">
        <f>IF(VLOOKUP($A97,'Pre-Assessment Estimator'!$A$10:$Z$224,T$2,FALSE)=0,"",VLOOKUP($A97,'Pre-Assessment Estimator'!$A$10:$Z$224,T$2,FALSE))</f>
        <v/>
      </c>
      <c r="U97" s="582" t="str">
        <f>VLOOKUP($A97,'Pre-Assessment Estimator'!$A$10:$Z$224,U$2,FALSE)</f>
        <v>0 c. 0 %</v>
      </c>
      <c r="V97" s="581" t="str">
        <f>VLOOKUP($A97,'Pre-Assessment Estimator'!$A$10:$Z$224,V$2,FALSE)</f>
        <v>N/A</v>
      </c>
      <c r="W97" s="584" t="str">
        <f>IF(VLOOKUP($A97,'Pre-Assessment Estimator'!$A$10:$Z$224,W$2,FALSE)=0,"",VLOOKUP($A97,'Pre-Assessment Estimator'!$A$10:$Z$224,W$2,FALSE))</f>
        <v/>
      </c>
      <c r="X97" s="584" t="str">
        <f>IF(VLOOKUP($A97,'Pre-Assessment Estimator'!$A$10:$Z$224,X$2,FALSE)=0,"",VLOOKUP($A97,'Pre-Assessment Estimator'!$A$10:$Z$224,X$2,FALSE))</f>
        <v/>
      </c>
      <c r="Y97" s="370" t="str">
        <f>IF(VLOOKUP($A97,'Pre-Assessment Estimator'!$A$10:$Z$224,Y$2,FALSE)=0,"",VLOOKUP($A97,'Pre-Assessment Estimator'!$A$10:$Z$224,Y$2,FALSE))</f>
        <v/>
      </c>
      <c r="Z97" s="705"/>
      <c r="AA97" s="584" t="str">
        <f>IF(VLOOKUP($A97,'Pre-Assessment Estimator'!$A$10:$AB$224,AA$2,FALSE)=0,"",VLOOKUP($A97,'Pre-Assessment Estimator'!$A$10:$AB$224,AA$2,FALSE))</f>
        <v/>
      </c>
      <c r="AE97" s="386">
        <f t="shared" si="1"/>
        <v>1</v>
      </c>
      <c r="AF97" s="387" t="e">
        <f>VLOOKUP(J97,'Assessment Details'!$O$45:$P$48,2,FALSE)</f>
        <v>#N/A</v>
      </c>
      <c r="AG97" s="387" t="e">
        <f>VLOOKUP(Q97,'Assessment Details'!$O$45:$P$48,2,FALSE)</f>
        <v>#N/A</v>
      </c>
      <c r="AH97" s="387" t="e">
        <f>VLOOKUP(X97,'Assessment Details'!$O$45:$P$48,2,FALSE)</f>
        <v>#N/A</v>
      </c>
    </row>
    <row r="98" spans="1:34" x14ac:dyDescent="0.25">
      <c r="A98" s="836">
        <v>89</v>
      </c>
      <c r="B98" s="1262" t="s">
        <v>69</v>
      </c>
      <c r="C98" s="1262"/>
      <c r="D98" s="340" t="str">
        <f>VLOOKUP($A98,'Pre-Assessment Estimator'!$A$10:$Z$224,D$2,FALSE)</f>
        <v>Pre-requisite: transport assessment and travel plan</v>
      </c>
      <c r="E98" s="581" t="str">
        <f>VLOOKUP($A98,'Pre-Assessment Estimator'!$A$10:$Z$224,E$2,FALSE)</f>
        <v>Yes/No</v>
      </c>
      <c r="F98" s="587" t="str">
        <f>IF(VLOOKUP($A98,'Pre-Assessment Estimator'!$A$10:$Z$224,F$2,FALSE)=0,"",VLOOKUP($A98,'Pre-Assessment Estimator'!$A$10:$Z$224,F$2,FALSE))</f>
        <v/>
      </c>
      <c r="G98" s="1239" t="str">
        <f>VLOOKUP($A98,'Pre-Assessment Estimator'!$A$10:$Z$224,G$2,FALSE)</f>
        <v>-</v>
      </c>
      <c r="H98" s="583" t="str">
        <f>VLOOKUP($A98,'Pre-Assessment Estimator'!$A$10:$Z$224,H$2,FALSE)</f>
        <v>N/A</v>
      </c>
      <c r="I98" s="584" t="str">
        <f>IF(VLOOKUP($A98,'Pre-Assessment Estimator'!$A$10:$Z$224,I$2,FALSE)=0,"",VLOOKUP($A98,'Pre-Assessment Estimator'!$A$10:$Z$224,I$2,FALSE))</f>
        <v/>
      </c>
      <c r="J98" s="584" t="str">
        <f>IF(VLOOKUP($A98,'Pre-Assessment Estimator'!$A$10:$Z$224,J$2,FALSE)=0,"",VLOOKUP($A98,'Pre-Assessment Estimator'!$A$10:$Z$224,J$2,FALSE))</f>
        <v/>
      </c>
      <c r="K98" s="585" t="str">
        <f>IF(VLOOKUP($A98,'Pre-Assessment Estimator'!$A$10:$Z$224,K$2,FALSE)=0,"",VLOOKUP($A98,'Pre-Assessment Estimator'!$A$10:$Z$224,K$2,FALSE))</f>
        <v/>
      </c>
      <c r="L98" s="586"/>
      <c r="M98" s="587" t="str">
        <f>IF(VLOOKUP($A98,'Pre-Assessment Estimator'!$A$10:$Z$224,M$2,FALSE)=0,"",VLOOKUP($A98,'Pre-Assessment Estimator'!$A$10:$Z$224,M$2,FALSE))</f>
        <v/>
      </c>
      <c r="N98" s="582" t="str">
        <f>VLOOKUP($A98,'Pre-Assessment Estimator'!$A$10:$Z$224,N$2,FALSE)</f>
        <v>-</v>
      </c>
      <c r="O98" s="581" t="str">
        <f>VLOOKUP($A98,'Pre-Assessment Estimator'!$A$10:$Z$224,O$2,FALSE)</f>
        <v>N/A</v>
      </c>
      <c r="P98" s="584" t="str">
        <f>IF(VLOOKUP($A98,'Pre-Assessment Estimator'!$A$10:$Z$224,P$2,FALSE)=0,"",VLOOKUP($A98,'Pre-Assessment Estimator'!$A$10:$Z$224,P$2,FALSE))</f>
        <v/>
      </c>
      <c r="Q98" s="584" t="str">
        <f>IF(VLOOKUP($A98,'Pre-Assessment Estimator'!$A$10:$Z$224,Q$2,FALSE)=0,"",VLOOKUP($A98,'Pre-Assessment Estimator'!$A$10:$Z$224,Q$2,FALSE))</f>
        <v/>
      </c>
      <c r="R98" s="585" t="str">
        <f>IF(VLOOKUP($A98,'Pre-Assessment Estimator'!$A$10:$Z$224,R$2,FALSE)=0,"",VLOOKUP($A98,'Pre-Assessment Estimator'!$A$10:$Z$224,R$2,FALSE))</f>
        <v/>
      </c>
      <c r="S98" s="588"/>
      <c r="T98" s="587" t="str">
        <f>IF(VLOOKUP($A98,'Pre-Assessment Estimator'!$A$10:$Z$224,T$2,FALSE)=0,"",VLOOKUP($A98,'Pre-Assessment Estimator'!$A$10:$Z$224,T$2,FALSE))</f>
        <v/>
      </c>
      <c r="U98" s="582" t="str">
        <f>VLOOKUP($A98,'Pre-Assessment Estimator'!$A$10:$Z$224,U$2,FALSE)</f>
        <v>-</v>
      </c>
      <c r="V98" s="581" t="str">
        <f>VLOOKUP($A98,'Pre-Assessment Estimator'!$A$10:$Z$224,V$2,FALSE)</f>
        <v>N/A</v>
      </c>
      <c r="W98" s="584" t="str">
        <f>IF(VLOOKUP($A98,'Pre-Assessment Estimator'!$A$10:$Z$224,W$2,FALSE)=0,"",VLOOKUP($A98,'Pre-Assessment Estimator'!$A$10:$Z$224,W$2,FALSE))</f>
        <v/>
      </c>
      <c r="X98" s="584" t="str">
        <f>IF(VLOOKUP($A98,'Pre-Assessment Estimator'!$A$10:$Z$224,X$2,FALSE)=0,"",VLOOKUP($A98,'Pre-Assessment Estimator'!$A$10:$Z$224,X$2,FALSE))</f>
        <v/>
      </c>
      <c r="Y98" s="370" t="str">
        <f>IF(VLOOKUP($A98,'Pre-Assessment Estimator'!$A$10:$Z$224,Y$2,FALSE)=0,"",VLOOKUP($A98,'Pre-Assessment Estimator'!$A$10:$Z$224,Y$2,FALSE))</f>
        <v/>
      </c>
      <c r="Z98" s="705"/>
      <c r="AA98" s="584" t="str">
        <f>IF(VLOOKUP($A98,'Pre-Assessment Estimator'!$A$10:$AB$224,AA$2,FALSE)=0,"",VLOOKUP($A98,'Pre-Assessment Estimator'!$A$10:$AB$224,AA$2,FALSE))</f>
        <v/>
      </c>
      <c r="AE98" s="386">
        <f t="shared" si="1"/>
        <v>1</v>
      </c>
      <c r="AF98" s="387" t="e">
        <f>VLOOKUP(J98,'Assessment Details'!$O$45:$P$48,2,FALSE)</f>
        <v>#N/A</v>
      </c>
      <c r="AG98" s="387" t="e">
        <f>VLOOKUP(Q98,'Assessment Details'!$O$45:$P$48,2,FALSE)</f>
        <v>#N/A</v>
      </c>
      <c r="AH98" s="387" t="e">
        <f>VLOOKUP(X98,'Assessment Details'!$O$45:$P$48,2,FALSE)</f>
        <v>#N/A</v>
      </c>
    </row>
    <row r="99" spans="1:34" x14ac:dyDescent="0.25">
      <c r="A99" s="836">
        <v>90</v>
      </c>
      <c r="B99" s="1262" t="s">
        <v>69</v>
      </c>
      <c r="C99" s="1262"/>
      <c r="D99" s="340" t="str">
        <f>VLOOKUP($A99,'Pre-Assessment Estimator'!$A$10:$Z$224,D$2,FALSE)</f>
        <v xml:space="preserve">Transport options implementation </v>
      </c>
      <c r="E99" s="581">
        <f>VLOOKUP($A99,'Pre-Assessment Estimator'!$A$10:$Z$224,E$2,FALSE)</f>
        <v>10</v>
      </c>
      <c r="F99" s="587" t="str">
        <f>IF(VLOOKUP($A99,'Pre-Assessment Estimator'!$A$10:$Z$224,F$2,FALSE)=0,"",VLOOKUP($A99,'Pre-Assessment Estimator'!$A$10:$Z$224,F$2,FALSE))</f>
        <v/>
      </c>
      <c r="G99" s="1239">
        <f>VLOOKUP($A99,'Pre-Assessment Estimator'!$A$10:$Z$224,G$2,FALSE)</f>
        <v>0</v>
      </c>
      <c r="H99" s="583" t="str">
        <f>VLOOKUP($A99,'Pre-Assessment Estimator'!$A$10:$Z$224,H$2,FALSE)</f>
        <v>N/A</v>
      </c>
      <c r="I99" s="584" t="str">
        <f>IF(VLOOKUP($A99,'Pre-Assessment Estimator'!$A$10:$Z$224,I$2,FALSE)=0,"",VLOOKUP($A99,'Pre-Assessment Estimator'!$A$10:$Z$224,I$2,FALSE))</f>
        <v/>
      </c>
      <c r="J99" s="584" t="str">
        <f>IF(VLOOKUP($A99,'Pre-Assessment Estimator'!$A$10:$Z$224,J$2,FALSE)=0,"",VLOOKUP($A99,'Pre-Assessment Estimator'!$A$10:$Z$224,J$2,FALSE))</f>
        <v/>
      </c>
      <c r="K99" s="585" t="str">
        <f>IF(VLOOKUP($A99,'Pre-Assessment Estimator'!$A$10:$Z$224,K$2,FALSE)=0,"",VLOOKUP($A99,'Pre-Assessment Estimator'!$A$10:$Z$224,K$2,FALSE))</f>
        <v/>
      </c>
      <c r="L99" s="586"/>
      <c r="M99" s="587" t="str">
        <f>IF(VLOOKUP($A99,'Pre-Assessment Estimator'!$A$10:$Z$224,M$2,FALSE)=0,"",VLOOKUP($A99,'Pre-Assessment Estimator'!$A$10:$Z$224,M$2,FALSE))</f>
        <v/>
      </c>
      <c r="N99" s="582">
        <f>VLOOKUP($A99,'Pre-Assessment Estimator'!$A$10:$Z$224,N$2,FALSE)</f>
        <v>0</v>
      </c>
      <c r="O99" s="581" t="str">
        <f>VLOOKUP($A99,'Pre-Assessment Estimator'!$A$10:$Z$224,O$2,FALSE)</f>
        <v>N/A</v>
      </c>
      <c r="P99" s="584" t="str">
        <f>IF(VLOOKUP($A99,'Pre-Assessment Estimator'!$A$10:$Z$224,P$2,FALSE)=0,"",VLOOKUP($A99,'Pre-Assessment Estimator'!$A$10:$Z$224,P$2,FALSE))</f>
        <v/>
      </c>
      <c r="Q99" s="584" t="str">
        <f>IF(VLOOKUP($A99,'Pre-Assessment Estimator'!$A$10:$Z$224,Q$2,FALSE)=0,"",VLOOKUP($A99,'Pre-Assessment Estimator'!$A$10:$Z$224,Q$2,FALSE))</f>
        <v/>
      </c>
      <c r="R99" s="585" t="str">
        <f>IF(VLOOKUP($A99,'Pre-Assessment Estimator'!$A$10:$Z$224,R$2,FALSE)=0,"",VLOOKUP($A99,'Pre-Assessment Estimator'!$A$10:$Z$224,R$2,FALSE))</f>
        <v/>
      </c>
      <c r="S99" s="588"/>
      <c r="T99" s="587" t="str">
        <f>IF(VLOOKUP($A99,'Pre-Assessment Estimator'!$A$10:$Z$224,T$2,FALSE)=0,"",VLOOKUP($A99,'Pre-Assessment Estimator'!$A$10:$Z$224,T$2,FALSE))</f>
        <v/>
      </c>
      <c r="U99" s="582">
        <f>VLOOKUP($A99,'Pre-Assessment Estimator'!$A$10:$Z$224,U$2,FALSE)</f>
        <v>0</v>
      </c>
      <c r="V99" s="581" t="str">
        <f>VLOOKUP($A99,'Pre-Assessment Estimator'!$A$10:$Z$224,V$2,FALSE)</f>
        <v>N/A</v>
      </c>
      <c r="W99" s="584" t="str">
        <f>IF(VLOOKUP($A99,'Pre-Assessment Estimator'!$A$10:$Z$224,W$2,FALSE)=0,"",VLOOKUP($A99,'Pre-Assessment Estimator'!$A$10:$Z$224,W$2,FALSE))</f>
        <v/>
      </c>
      <c r="X99" s="584" t="str">
        <f>IF(VLOOKUP($A99,'Pre-Assessment Estimator'!$A$10:$Z$224,X$2,FALSE)=0,"",VLOOKUP($A99,'Pre-Assessment Estimator'!$A$10:$Z$224,X$2,FALSE))</f>
        <v/>
      </c>
      <c r="Y99" s="370" t="str">
        <f>IF(VLOOKUP($A99,'Pre-Assessment Estimator'!$A$10:$Z$224,Y$2,FALSE)=0,"",VLOOKUP($A99,'Pre-Assessment Estimator'!$A$10:$Z$224,Y$2,FALSE))</f>
        <v/>
      </c>
      <c r="Z99" s="705"/>
      <c r="AA99" s="584" t="str">
        <f>IF(VLOOKUP($A99,'Pre-Assessment Estimator'!$A$10:$AB$224,AA$2,FALSE)=0,"",VLOOKUP($A99,'Pre-Assessment Estimator'!$A$10:$AB$224,AA$2,FALSE))</f>
        <v/>
      </c>
      <c r="AE99" s="386">
        <f t="shared" si="1"/>
        <v>1</v>
      </c>
      <c r="AF99" s="95" t="e">
        <f>VLOOKUP(J99,'Assessment Details'!$O$45:$P$48,2,FALSE)</f>
        <v>#N/A</v>
      </c>
      <c r="AG99" s="95" t="e">
        <f>VLOOKUP(Q99,'Assessment Details'!$O$45:$P$48,2,FALSE)</f>
        <v>#N/A</v>
      </c>
      <c r="AH99" s="95" t="e">
        <f>VLOOKUP(X99,'Assessment Details'!$O$45:$P$48,2,FALSE)</f>
        <v>#N/A</v>
      </c>
    </row>
    <row r="100" spans="1:34" ht="30.75" thickBot="1" x14ac:dyDescent="0.3">
      <c r="A100" s="836">
        <v>91</v>
      </c>
      <c r="B100" s="1262" t="s">
        <v>69</v>
      </c>
      <c r="C100" s="1262"/>
      <c r="D100" s="341" t="str">
        <f>VLOOKUP($A100,'Pre-Assessment Estimator'!$A$10:$Z$224,D$2,FALSE)</f>
        <v>Total performance transport</v>
      </c>
      <c r="E100" s="589">
        <f>VLOOKUP($A100,'Pre-Assessment Estimator'!$A$10:$Z$224,E$2,FALSE)</f>
        <v>13</v>
      </c>
      <c r="F100" s="591" t="str">
        <f>IF(VLOOKUP($A100,'Pre-Assessment Estimator'!$A$10:$Z$224,F$2,FALSE)=0,"",VLOOKUP($A100,'Pre-Assessment Estimator'!$A$10:$Z$224,F$2,FALSE))</f>
        <v/>
      </c>
      <c r="G100" s="590">
        <f>VLOOKUP($A100,'Pre-Assessment Estimator'!$A$10:$Z$224,G$2,FALSE)</f>
        <v>0</v>
      </c>
      <c r="H100" s="589" t="str">
        <f>VLOOKUP($A100,'Pre-Assessment Estimator'!$A$10:$Z$224,H$2,FALSE)</f>
        <v>Credits achieved: 0</v>
      </c>
      <c r="I100" s="1220" t="str">
        <f>IF(VLOOKUP($A100,'Pre-Assessment Estimator'!$A$10:$Z$224,I$2,FALSE)=0,"",VLOOKUP($A100,'Pre-Assessment Estimator'!$A$10:$Z$224,I$2,FALSE))</f>
        <v/>
      </c>
      <c r="J100" s="1220" t="str">
        <f>IF(VLOOKUP($A100,'Pre-Assessment Estimator'!$A$10:$Z$224,J$2,FALSE)=0,"",VLOOKUP($A100,'Pre-Assessment Estimator'!$A$10:$Z$224,J$2,FALSE))</f>
        <v/>
      </c>
      <c r="K100" s="1240" t="str">
        <f>IF(VLOOKUP($A100,'Pre-Assessment Estimator'!$A$10:$Z$224,K$2,FALSE)=0,"",VLOOKUP($A100,'Pre-Assessment Estimator'!$A$10:$Z$224,K$2,FALSE))</f>
        <v/>
      </c>
      <c r="L100" s="1241"/>
      <c r="M100" s="591" t="str">
        <f>IF(VLOOKUP($A100,'Pre-Assessment Estimator'!$A$10:$Z$224,M$2,FALSE)=0,"",VLOOKUP($A100,'Pre-Assessment Estimator'!$A$10:$Z$224,M$2,FALSE))</f>
        <v/>
      </c>
      <c r="N100" s="590">
        <f>VLOOKUP($A100,'Pre-Assessment Estimator'!$A$10:$Z$224,N$2,FALSE)</f>
        <v>0</v>
      </c>
      <c r="O100" s="589" t="str">
        <f>VLOOKUP($A100,'Pre-Assessment Estimator'!$A$10:$Z$224,O$2,FALSE)</f>
        <v>Credits achieved: 0</v>
      </c>
      <c r="P100" s="1220" t="str">
        <f>IF(VLOOKUP($A100,'Pre-Assessment Estimator'!$A$10:$Z$224,P$2,FALSE)=0,"",VLOOKUP($A100,'Pre-Assessment Estimator'!$A$10:$Z$224,P$2,FALSE))</f>
        <v/>
      </c>
      <c r="Q100" s="1220" t="str">
        <f>IF(VLOOKUP($A100,'Pre-Assessment Estimator'!$A$10:$Z$224,Q$2,FALSE)=0,"",VLOOKUP($A100,'Pre-Assessment Estimator'!$A$10:$Z$224,Q$2,FALSE))</f>
        <v/>
      </c>
      <c r="R100" s="1240" t="str">
        <f>IF(VLOOKUP($A100,'Pre-Assessment Estimator'!$A$10:$Z$224,R$2,FALSE)=0,"",VLOOKUP($A100,'Pre-Assessment Estimator'!$A$10:$Z$224,R$2,FALSE))</f>
        <v/>
      </c>
      <c r="S100" s="1242"/>
      <c r="T100" s="591" t="str">
        <f>IF(VLOOKUP($A100,'Pre-Assessment Estimator'!$A$10:$Z$224,T$2,FALSE)=0,"",VLOOKUP($A100,'Pre-Assessment Estimator'!$A$10:$Z$224,T$2,FALSE))</f>
        <v/>
      </c>
      <c r="U100" s="590">
        <f>VLOOKUP($A100,'Pre-Assessment Estimator'!$A$10:$Z$224,U$2,FALSE)</f>
        <v>0</v>
      </c>
      <c r="V100" s="589" t="str">
        <f>VLOOKUP($A100,'Pre-Assessment Estimator'!$A$10:$Z$224,V$2,FALSE)</f>
        <v>Credits achieved: 0</v>
      </c>
      <c r="W100" s="1220" t="str">
        <f>IF(VLOOKUP($A100,'Pre-Assessment Estimator'!$A$10:$Z$224,W$2,FALSE)=0,"",VLOOKUP($A100,'Pre-Assessment Estimator'!$A$10:$Z$224,W$2,FALSE))</f>
        <v/>
      </c>
      <c r="X100" s="1220" t="str">
        <f>IF(VLOOKUP($A100,'Pre-Assessment Estimator'!$A$10:$Z$224,X$2,FALSE)=0,"",VLOOKUP($A100,'Pre-Assessment Estimator'!$A$10:$Z$224,X$2,FALSE))</f>
        <v/>
      </c>
      <c r="Y100" s="1243" t="str">
        <f>IF(VLOOKUP($A100,'Pre-Assessment Estimator'!$A$10:$Z$224,Y$2,FALSE)=0,"",VLOOKUP($A100,'Pre-Assessment Estimator'!$A$10:$Z$224,Y$2,FALSE))</f>
        <v/>
      </c>
      <c r="Z100" s="705"/>
      <c r="AA100" s="584" t="str">
        <f>IF(VLOOKUP($A100,'Pre-Assessment Estimator'!$A$10:$AB$224,AA$2,FALSE)=0,"",VLOOKUP($A100,'Pre-Assessment Estimator'!$A$10:$AB$224,AA$2,FALSE))</f>
        <v/>
      </c>
      <c r="AE100" s="386">
        <f t="shared" si="1"/>
        <v>1</v>
      </c>
      <c r="AF100" s="276">
        <v>0</v>
      </c>
      <c r="AG100" s="276">
        <v>0</v>
      </c>
      <c r="AH100" s="276">
        <v>0</v>
      </c>
    </row>
    <row r="101" spans="1:34" x14ac:dyDescent="0.25">
      <c r="A101" s="836">
        <v>92</v>
      </c>
      <c r="B101" s="1262" t="s">
        <v>69</v>
      </c>
      <c r="C101" s="1262"/>
      <c r="D101" s="592"/>
      <c r="E101" s="593"/>
      <c r="F101" s="593"/>
      <c r="G101" s="593"/>
      <c r="H101" s="593"/>
      <c r="I101" s="592"/>
      <c r="J101" s="593"/>
      <c r="K101" s="592"/>
      <c r="L101" s="586"/>
      <c r="M101" s="593"/>
      <c r="N101" s="593"/>
      <c r="O101" s="593"/>
      <c r="P101" s="592"/>
      <c r="Q101" s="593"/>
      <c r="R101" s="592"/>
      <c r="S101" s="588"/>
      <c r="T101" s="593"/>
      <c r="U101" s="593"/>
      <c r="V101" s="593"/>
      <c r="W101" s="592"/>
      <c r="X101" s="593"/>
      <c r="Y101" s="343"/>
      <c r="Z101" s="706"/>
      <c r="AA101" s="592"/>
      <c r="AB101" s="389"/>
      <c r="AC101" s="389"/>
      <c r="AD101" s="389"/>
      <c r="AE101" s="386">
        <f t="shared" si="1"/>
        <v>1</v>
      </c>
      <c r="AF101" s="278">
        <v>0</v>
      </c>
      <c r="AG101" s="278">
        <v>0</v>
      </c>
      <c r="AH101" s="278">
        <v>0</v>
      </c>
    </row>
    <row r="102" spans="1:34" ht="18.75" x14ac:dyDescent="0.25">
      <c r="A102" s="836">
        <v>93</v>
      </c>
      <c r="B102" s="836" t="s">
        <v>61</v>
      </c>
      <c r="C102" s="836"/>
      <c r="D102" s="594" t="s">
        <v>61</v>
      </c>
      <c r="E102" s="577"/>
      <c r="F102" s="577"/>
      <c r="G102" s="577"/>
      <c r="H102" s="577"/>
      <c r="I102" s="578"/>
      <c r="J102" s="577"/>
      <c r="K102" s="578"/>
      <c r="L102" s="586"/>
      <c r="M102" s="577"/>
      <c r="N102" s="577"/>
      <c r="O102" s="577"/>
      <c r="P102" s="578"/>
      <c r="Q102" s="577"/>
      <c r="R102" s="578"/>
      <c r="S102" s="588"/>
      <c r="T102" s="577"/>
      <c r="U102" s="577"/>
      <c r="V102" s="577"/>
      <c r="W102" s="578"/>
      <c r="X102" s="577"/>
      <c r="Y102" s="411"/>
      <c r="Z102" s="704"/>
      <c r="AA102" s="708"/>
      <c r="AE102" s="386">
        <f t="shared" si="1"/>
        <v>1</v>
      </c>
      <c r="AF102" s="275">
        <v>0</v>
      </c>
      <c r="AG102" s="275">
        <v>0</v>
      </c>
      <c r="AH102" s="275">
        <v>0</v>
      </c>
    </row>
    <row r="103" spans="1:34" x14ac:dyDescent="0.25">
      <c r="A103" s="836">
        <v>94</v>
      </c>
      <c r="B103" s="1262" t="s">
        <v>61</v>
      </c>
      <c r="C103" s="1262"/>
      <c r="D103" s="993" t="str">
        <f>VLOOKUP($A103,'Pre-Assessment Estimator'!$A$10:$Z$224,D$2,FALSE)</f>
        <v>Wat 01 Water consumption</v>
      </c>
      <c r="E103" s="581">
        <f>VLOOKUP($A103,'Pre-Assessment Estimator'!$A$10:$Z$224,E$2,FALSE)</f>
        <v>5</v>
      </c>
      <c r="F103" s="587" t="str">
        <f>IF(VLOOKUP($A103,'Pre-Assessment Estimator'!$A$10:$Z$224,F$2,FALSE)=0,"",VLOOKUP($A103,'Pre-Assessment Estimator'!$A$10:$Z$224,F$2,FALSE))</f>
        <v/>
      </c>
      <c r="G103" s="1239" t="str">
        <f>VLOOKUP($A103,'Pre-Assessment Estimator'!$A$10:$Z$224,G$2,FALSE)</f>
        <v>0 c. 0 %</v>
      </c>
      <c r="H103" s="583" t="str">
        <f>VLOOKUP($A103,'Pre-Assessment Estimator'!$A$10:$Z$224,H$2,FALSE)</f>
        <v>N/A</v>
      </c>
      <c r="I103" s="584" t="str">
        <f>IF(VLOOKUP($A103,'Pre-Assessment Estimator'!$A$10:$Z$224,I$2,FALSE)=0,"",VLOOKUP($A103,'Pre-Assessment Estimator'!$A$10:$Z$224,I$2,FALSE))</f>
        <v/>
      </c>
      <c r="J103" s="584" t="str">
        <f>IF(VLOOKUP($A103,'Pre-Assessment Estimator'!$A$10:$Z$224,J$2,FALSE)=0,"",VLOOKUP($A103,'Pre-Assessment Estimator'!$A$10:$Z$224,J$2,FALSE))</f>
        <v/>
      </c>
      <c r="K103" s="585" t="str">
        <f>IF(VLOOKUP($A103,'Pre-Assessment Estimator'!$A$10:$Z$224,K$2,FALSE)=0,"",VLOOKUP($A103,'Pre-Assessment Estimator'!$A$10:$Z$224,K$2,FALSE))</f>
        <v/>
      </c>
      <c r="L103" s="586"/>
      <c r="M103" s="587" t="str">
        <f>IF(VLOOKUP($A103,'Pre-Assessment Estimator'!$A$10:$Z$224,M$2,FALSE)=0,"",VLOOKUP($A103,'Pre-Assessment Estimator'!$A$10:$Z$224,M$2,FALSE))</f>
        <v/>
      </c>
      <c r="N103" s="582" t="str">
        <f>VLOOKUP($A103,'Pre-Assessment Estimator'!$A$10:$Z$224,N$2,FALSE)</f>
        <v>0 c. 0 %</v>
      </c>
      <c r="O103" s="581" t="str">
        <f>VLOOKUP($A103,'Pre-Assessment Estimator'!$A$10:$Z$224,O$2,FALSE)</f>
        <v>N/A</v>
      </c>
      <c r="P103" s="584" t="str">
        <f>IF(VLOOKUP($A103,'Pre-Assessment Estimator'!$A$10:$Z$224,P$2,FALSE)=0,"",VLOOKUP($A103,'Pre-Assessment Estimator'!$A$10:$Z$224,P$2,FALSE))</f>
        <v/>
      </c>
      <c r="Q103" s="584" t="str">
        <f>IF(VLOOKUP($A103,'Pre-Assessment Estimator'!$A$10:$Z$224,Q$2,FALSE)=0,"",VLOOKUP($A103,'Pre-Assessment Estimator'!$A$10:$Z$224,Q$2,FALSE))</f>
        <v/>
      </c>
      <c r="R103" s="585" t="str">
        <f>IF(VLOOKUP($A103,'Pre-Assessment Estimator'!$A$10:$Z$224,R$2,FALSE)=0,"",VLOOKUP($A103,'Pre-Assessment Estimator'!$A$10:$Z$224,R$2,FALSE))</f>
        <v/>
      </c>
      <c r="S103" s="588"/>
      <c r="T103" s="587" t="str">
        <f>IF(VLOOKUP($A103,'Pre-Assessment Estimator'!$A$10:$Z$224,T$2,FALSE)=0,"",VLOOKUP($A103,'Pre-Assessment Estimator'!$A$10:$Z$224,T$2,FALSE))</f>
        <v/>
      </c>
      <c r="U103" s="582" t="str">
        <f>VLOOKUP($A103,'Pre-Assessment Estimator'!$A$10:$Z$224,U$2,FALSE)</f>
        <v>0 c. 0 %</v>
      </c>
      <c r="V103" s="581" t="str">
        <f>VLOOKUP($A103,'Pre-Assessment Estimator'!$A$10:$Z$224,V$2,FALSE)</f>
        <v>N/A</v>
      </c>
      <c r="W103" s="584" t="str">
        <f>IF(VLOOKUP($A103,'Pre-Assessment Estimator'!$A$10:$Z$224,W$2,FALSE)=0,"",VLOOKUP($A103,'Pre-Assessment Estimator'!$A$10:$Z$224,W$2,FALSE))</f>
        <v/>
      </c>
      <c r="X103" s="584" t="str">
        <f>IF(VLOOKUP($A103,'Pre-Assessment Estimator'!$A$10:$Z$224,X$2,FALSE)=0,"",VLOOKUP($A103,'Pre-Assessment Estimator'!$A$10:$Z$224,X$2,FALSE))</f>
        <v/>
      </c>
      <c r="Y103" s="370" t="str">
        <f>IF(VLOOKUP($A103,'Pre-Assessment Estimator'!$A$10:$Z$224,Y$2,FALSE)=0,"",VLOOKUP($A103,'Pre-Assessment Estimator'!$A$10:$Z$224,Y$2,FALSE))</f>
        <v/>
      </c>
      <c r="Z103" s="705"/>
      <c r="AA103" s="584" t="str">
        <f>IF(VLOOKUP($A103,'Pre-Assessment Estimator'!$A$10:$AB$224,AA$2,FALSE)=0,"",VLOOKUP($A103,'Pre-Assessment Estimator'!$A$10:$AB$224,AA$2,FALSE))</f>
        <v/>
      </c>
      <c r="AE103" s="386">
        <f t="shared" si="1"/>
        <v>1</v>
      </c>
      <c r="AF103" s="95" t="e">
        <f>VLOOKUP(J103,'Assessment Details'!$O$45:$P$48,2,FALSE)</f>
        <v>#N/A</v>
      </c>
      <c r="AG103" s="95" t="e">
        <f>VLOOKUP(Q103,'Assessment Details'!$O$45:$P$48,2,FALSE)</f>
        <v>#N/A</v>
      </c>
      <c r="AH103" s="95" t="e">
        <f>VLOOKUP(X103,'Assessment Details'!$O$45:$P$48,2,FALSE)</f>
        <v>#N/A</v>
      </c>
    </row>
    <row r="104" spans="1:34" x14ac:dyDescent="0.25">
      <c r="A104" s="836">
        <v>95</v>
      </c>
      <c r="B104" s="1262" t="s">
        <v>61</v>
      </c>
      <c r="C104" s="1262"/>
      <c r="D104" s="340" t="str">
        <f>VLOOKUP($A104,'Pre-Assessment Estimator'!$A$10:$Z$224,D$2,FALSE)</f>
        <v>EU taxonomy requirements: criterion 1-3</v>
      </c>
      <c r="E104" s="581" t="str">
        <f>VLOOKUP($A104,'Pre-Assessment Estimator'!$A$10:$Z$224,E$2,FALSE)</f>
        <v>Yes/No</v>
      </c>
      <c r="F104" s="587" t="str">
        <f>IF(VLOOKUP($A104,'Pre-Assessment Estimator'!$A$10:$Z$224,F$2,FALSE)=0,"",VLOOKUP($A104,'Pre-Assessment Estimator'!$A$10:$Z$224,F$2,FALSE))</f>
        <v/>
      </c>
      <c r="G104" s="1239" t="str">
        <f>VLOOKUP($A104,'Pre-Assessment Estimator'!$A$10:$Z$224,G$2,FALSE)</f>
        <v>-</v>
      </c>
      <c r="H104" s="583" t="str">
        <f>VLOOKUP($A104,'Pre-Assessment Estimator'!$A$10:$Z$224,H$2,FALSE)</f>
        <v>N/A</v>
      </c>
      <c r="I104" s="584" t="str">
        <f>IF(VLOOKUP($A104,'Pre-Assessment Estimator'!$A$10:$Z$224,I$2,FALSE)=0,"",VLOOKUP($A104,'Pre-Assessment Estimator'!$A$10:$Z$224,I$2,FALSE))</f>
        <v/>
      </c>
      <c r="J104" s="584" t="str">
        <f>IF(VLOOKUP($A104,'Pre-Assessment Estimator'!$A$10:$Z$224,J$2,FALSE)=0,"",VLOOKUP($A104,'Pre-Assessment Estimator'!$A$10:$Z$224,J$2,FALSE))</f>
        <v/>
      </c>
      <c r="K104" s="585" t="str">
        <f>IF(VLOOKUP($A104,'Pre-Assessment Estimator'!$A$10:$Z$224,K$2,FALSE)=0,"",VLOOKUP($A104,'Pre-Assessment Estimator'!$A$10:$Z$224,K$2,FALSE))</f>
        <v/>
      </c>
      <c r="L104" s="586"/>
      <c r="M104" s="587" t="str">
        <f>IF(VLOOKUP($A104,'Pre-Assessment Estimator'!$A$10:$Z$224,M$2,FALSE)=0,"",VLOOKUP($A104,'Pre-Assessment Estimator'!$A$10:$Z$224,M$2,FALSE))</f>
        <v/>
      </c>
      <c r="N104" s="582" t="str">
        <f>VLOOKUP($A104,'Pre-Assessment Estimator'!$A$10:$Z$224,N$2,FALSE)</f>
        <v>-</v>
      </c>
      <c r="O104" s="581" t="str">
        <f>VLOOKUP($A104,'Pre-Assessment Estimator'!$A$10:$Z$224,O$2,FALSE)</f>
        <v>N/A</v>
      </c>
      <c r="P104" s="584" t="str">
        <f>IF(VLOOKUP($A104,'Pre-Assessment Estimator'!$A$10:$Z$224,P$2,FALSE)=0,"",VLOOKUP($A104,'Pre-Assessment Estimator'!$A$10:$Z$224,P$2,FALSE))</f>
        <v/>
      </c>
      <c r="Q104" s="584" t="str">
        <f>IF(VLOOKUP($A104,'Pre-Assessment Estimator'!$A$10:$Z$224,Q$2,FALSE)=0,"",VLOOKUP($A104,'Pre-Assessment Estimator'!$A$10:$Z$224,Q$2,FALSE))</f>
        <v/>
      </c>
      <c r="R104" s="585" t="str">
        <f>IF(VLOOKUP($A104,'Pre-Assessment Estimator'!$A$10:$Z$224,R$2,FALSE)=0,"",VLOOKUP($A104,'Pre-Assessment Estimator'!$A$10:$Z$224,R$2,FALSE))</f>
        <v/>
      </c>
      <c r="S104" s="588"/>
      <c r="T104" s="587" t="str">
        <f>IF(VLOOKUP($A104,'Pre-Assessment Estimator'!$A$10:$Z$224,T$2,FALSE)=0,"",VLOOKUP($A104,'Pre-Assessment Estimator'!$A$10:$Z$224,T$2,FALSE))</f>
        <v/>
      </c>
      <c r="U104" s="582" t="str">
        <f>VLOOKUP($A104,'Pre-Assessment Estimator'!$A$10:$Z$224,U$2,FALSE)</f>
        <v>-</v>
      </c>
      <c r="V104" s="581" t="str">
        <f>VLOOKUP($A104,'Pre-Assessment Estimator'!$A$10:$Z$224,V$2,FALSE)</f>
        <v>N/A</v>
      </c>
      <c r="W104" s="584" t="str">
        <f>IF(VLOOKUP($A104,'Pre-Assessment Estimator'!$A$10:$Z$224,W$2,FALSE)=0,"",VLOOKUP($A104,'Pre-Assessment Estimator'!$A$10:$Z$224,W$2,FALSE))</f>
        <v/>
      </c>
      <c r="X104" s="584" t="str">
        <f>IF(VLOOKUP($A104,'Pre-Assessment Estimator'!$A$10:$Z$224,X$2,FALSE)=0,"",VLOOKUP($A104,'Pre-Assessment Estimator'!$A$10:$Z$224,X$2,FALSE))</f>
        <v/>
      </c>
      <c r="Y104" s="370" t="str">
        <f>IF(VLOOKUP($A104,'Pre-Assessment Estimator'!$A$10:$Z$224,Y$2,FALSE)=0,"",VLOOKUP($A104,'Pre-Assessment Estimator'!$A$10:$Z$224,Y$2,FALSE))</f>
        <v/>
      </c>
      <c r="Z104" s="705"/>
      <c r="AA104" s="584" t="str">
        <f>IF(VLOOKUP($A104,'Pre-Assessment Estimator'!$A$10:$AB$224,AA$2,FALSE)=0,"",VLOOKUP($A104,'Pre-Assessment Estimator'!$A$10:$AB$224,AA$2,FALSE))</f>
        <v/>
      </c>
      <c r="AE104" s="386">
        <f t="shared" si="1"/>
        <v>1</v>
      </c>
      <c r="AF104" s="95" t="e">
        <f>VLOOKUP(J104,'Assessment Details'!$O$45:$P$48,2,FALSE)</f>
        <v>#N/A</v>
      </c>
      <c r="AG104" s="95" t="e">
        <f>VLOOKUP(Q104,'Assessment Details'!$O$45:$P$48,2,FALSE)</f>
        <v>#N/A</v>
      </c>
      <c r="AH104" s="95" t="e">
        <f>VLOOKUP(X104,'Assessment Details'!$O$45:$P$48,2,FALSE)</f>
        <v>#N/A</v>
      </c>
    </row>
    <row r="105" spans="1:34" x14ac:dyDescent="0.25">
      <c r="A105" s="836">
        <v>96</v>
      </c>
      <c r="B105" s="1262" t="s">
        <v>61</v>
      </c>
      <c r="C105" s="1262"/>
      <c r="D105" s="340" t="str">
        <f>VLOOKUP($A105,'Pre-Assessment Estimator'!$A$10:$Z$224,D$2,FALSE)</f>
        <v>Water efficient components</v>
      </c>
      <c r="E105" s="581">
        <f>VLOOKUP($A105,'Pre-Assessment Estimator'!$A$10:$Z$224,E$2,FALSE)</f>
        <v>5</v>
      </c>
      <c r="F105" s="587" t="str">
        <f>IF(VLOOKUP($A105,'Pre-Assessment Estimator'!$A$10:$Z$224,F$2,FALSE)=0,"",VLOOKUP($A105,'Pre-Assessment Estimator'!$A$10:$Z$224,F$2,FALSE))</f>
        <v/>
      </c>
      <c r="G105" s="1239">
        <f>VLOOKUP($A105,'Pre-Assessment Estimator'!$A$10:$Z$224,G$2,FALSE)</f>
        <v>0</v>
      </c>
      <c r="H105" s="583" t="str">
        <f>VLOOKUP($A105,'Pre-Assessment Estimator'!$A$10:$Z$224,H$2,FALSE)</f>
        <v>Very Good</v>
      </c>
      <c r="I105" s="584" t="str">
        <f>IF(VLOOKUP($A105,'Pre-Assessment Estimator'!$A$10:$Z$224,I$2,FALSE)=0,"",VLOOKUP($A105,'Pre-Assessment Estimator'!$A$10:$Z$224,I$2,FALSE))</f>
        <v/>
      </c>
      <c r="J105" s="584" t="str">
        <f>IF(VLOOKUP($A105,'Pre-Assessment Estimator'!$A$10:$Z$224,J$2,FALSE)=0,"",VLOOKUP($A105,'Pre-Assessment Estimator'!$A$10:$Z$224,J$2,FALSE))</f>
        <v/>
      </c>
      <c r="K105" s="585" t="str">
        <f>IF(VLOOKUP($A105,'Pre-Assessment Estimator'!$A$10:$Z$224,K$2,FALSE)=0,"",VLOOKUP($A105,'Pre-Assessment Estimator'!$A$10:$Z$224,K$2,FALSE))</f>
        <v/>
      </c>
      <c r="L105" s="586"/>
      <c r="M105" s="587" t="str">
        <f>IF(VLOOKUP($A105,'Pre-Assessment Estimator'!$A$10:$Z$224,M$2,FALSE)=0,"",VLOOKUP($A105,'Pre-Assessment Estimator'!$A$10:$Z$224,M$2,FALSE))</f>
        <v/>
      </c>
      <c r="N105" s="582">
        <f>VLOOKUP($A105,'Pre-Assessment Estimator'!$A$10:$Z$224,N$2,FALSE)</f>
        <v>0</v>
      </c>
      <c r="O105" s="581" t="str">
        <f>VLOOKUP($A105,'Pre-Assessment Estimator'!$A$10:$Z$224,O$2,FALSE)</f>
        <v>Very Good</v>
      </c>
      <c r="P105" s="584" t="str">
        <f>IF(VLOOKUP($A105,'Pre-Assessment Estimator'!$A$10:$Z$224,P$2,FALSE)=0,"",VLOOKUP($A105,'Pre-Assessment Estimator'!$A$10:$Z$224,P$2,FALSE))</f>
        <v/>
      </c>
      <c r="Q105" s="584" t="str">
        <f>IF(VLOOKUP($A105,'Pre-Assessment Estimator'!$A$10:$Z$224,Q$2,FALSE)=0,"",VLOOKUP($A105,'Pre-Assessment Estimator'!$A$10:$Z$224,Q$2,FALSE))</f>
        <v/>
      </c>
      <c r="R105" s="585" t="str">
        <f>IF(VLOOKUP($A105,'Pre-Assessment Estimator'!$A$10:$Z$224,R$2,FALSE)=0,"",VLOOKUP($A105,'Pre-Assessment Estimator'!$A$10:$Z$224,R$2,FALSE))</f>
        <v/>
      </c>
      <c r="S105" s="588"/>
      <c r="T105" s="587" t="str">
        <f>IF(VLOOKUP($A105,'Pre-Assessment Estimator'!$A$10:$Z$224,T$2,FALSE)=0,"",VLOOKUP($A105,'Pre-Assessment Estimator'!$A$10:$Z$224,T$2,FALSE))</f>
        <v/>
      </c>
      <c r="U105" s="582">
        <f>VLOOKUP($A105,'Pre-Assessment Estimator'!$A$10:$Z$224,U$2,FALSE)</f>
        <v>0</v>
      </c>
      <c r="V105" s="581" t="str">
        <f>VLOOKUP($A105,'Pre-Assessment Estimator'!$A$10:$Z$224,V$2,FALSE)</f>
        <v>Very Good</v>
      </c>
      <c r="W105" s="584" t="str">
        <f>IF(VLOOKUP($A105,'Pre-Assessment Estimator'!$A$10:$Z$224,W$2,FALSE)=0,"",VLOOKUP($A105,'Pre-Assessment Estimator'!$A$10:$Z$224,W$2,FALSE))</f>
        <v/>
      </c>
      <c r="X105" s="584" t="str">
        <f>IF(VLOOKUP($A105,'Pre-Assessment Estimator'!$A$10:$Z$224,X$2,FALSE)=0,"",VLOOKUP($A105,'Pre-Assessment Estimator'!$A$10:$Z$224,X$2,FALSE))</f>
        <v/>
      </c>
      <c r="Y105" s="370" t="str">
        <f>IF(VLOOKUP($A105,'Pre-Assessment Estimator'!$A$10:$Z$224,Y$2,FALSE)=0,"",VLOOKUP($A105,'Pre-Assessment Estimator'!$A$10:$Z$224,Y$2,FALSE))</f>
        <v/>
      </c>
      <c r="Z105" s="705"/>
      <c r="AA105" s="584" t="str">
        <f>IF(VLOOKUP($A105,'Pre-Assessment Estimator'!$A$10:$AB$224,AA$2,FALSE)=0,"",VLOOKUP($A105,'Pre-Assessment Estimator'!$A$10:$AB$224,AA$2,FALSE))</f>
        <v/>
      </c>
      <c r="AE105" s="386">
        <f t="shared" si="1"/>
        <v>1</v>
      </c>
      <c r="AF105" s="95" t="e">
        <f>VLOOKUP(J105,'Assessment Details'!$O$45:$P$48,2,FALSE)</f>
        <v>#N/A</v>
      </c>
      <c r="AG105" s="95" t="e">
        <f>VLOOKUP(Q105,'Assessment Details'!$O$45:$P$48,2,FALSE)</f>
        <v>#N/A</v>
      </c>
      <c r="AH105" s="95" t="e">
        <f>VLOOKUP(X105,'Assessment Details'!$O$45:$P$48,2,FALSE)</f>
        <v>#N/A</v>
      </c>
    </row>
    <row r="106" spans="1:34" x14ac:dyDescent="0.25">
      <c r="A106" s="836">
        <v>97</v>
      </c>
      <c r="B106" s="1262"/>
      <c r="C106" s="1262"/>
      <c r="D106" s="340" t="str">
        <f>VLOOKUP($A106,'Pre-Assessment Estimator'!$A$10:$Z$224,D$2,FALSE)</f>
        <v>Wat 02 Water monitoring</v>
      </c>
      <c r="E106" s="581">
        <f>VLOOKUP($A106,'Pre-Assessment Estimator'!$A$10:$Z$224,E$2,FALSE)</f>
        <v>1</v>
      </c>
      <c r="F106" s="587" t="str">
        <f>IF(VLOOKUP($A106,'Pre-Assessment Estimator'!$A$10:$Z$224,F$2,FALSE)=0,"",VLOOKUP($A106,'Pre-Assessment Estimator'!$A$10:$Z$224,F$2,FALSE))</f>
        <v/>
      </c>
      <c r="G106" s="1239" t="str">
        <f>VLOOKUP($A106,'Pre-Assessment Estimator'!$A$10:$Z$224,G$2,FALSE)</f>
        <v>0 c. 0 %</v>
      </c>
      <c r="H106" s="583" t="str">
        <f>VLOOKUP($A106,'Pre-Assessment Estimator'!$A$10:$Z$224,H$2,FALSE)</f>
        <v>N/A</v>
      </c>
      <c r="I106" s="584" t="str">
        <f>IF(VLOOKUP($A106,'Pre-Assessment Estimator'!$A$10:$Z$224,I$2,FALSE)=0,"",VLOOKUP($A106,'Pre-Assessment Estimator'!$A$10:$Z$224,I$2,FALSE))</f>
        <v/>
      </c>
      <c r="J106" s="584" t="str">
        <f>IF(VLOOKUP($A106,'Pre-Assessment Estimator'!$A$10:$Z$224,J$2,FALSE)=0,"",VLOOKUP($A106,'Pre-Assessment Estimator'!$A$10:$Z$224,J$2,FALSE))</f>
        <v/>
      </c>
      <c r="K106" s="585" t="str">
        <f>IF(VLOOKUP($A106,'Pre-Assessment Estimator'!$A$10:$Z$224,K$2,FALSE)=0,"",VLOOKUP($A106,'Pre-Assessment Estimator'!$A$10:$Z$224,K$2,FALSE))</f>
        <v/>
      </c>
      <c r="L106" s="586"/>
      <c r="M106" s="587" t="str">
        <f>IF(VLOOKUP($A106,'Pre-Assessment Estimator'!$A$10:$Z$224,M$2,FALSE)=0,"",VLOOKUP($A106,'Pre-Assessment Estimator'!$A$10:$Z$224,M$2,FALSE))</f>
        <v/>
      </c>
      <c r="N106" s="582" t="str">
        <f>VLOOKUP($A106,'Pre-Assessment Estimator'!$A$10:$Z$224,N$2,FALSE)</f>
        <v>0 c. 0 %</v>
      </c>
      <c r="O106" s="581" t="str">
        <f>VLOOKUP($A106,'Pre-Assessment Estimator'!$A$10:$Z$224,O$2,FALSE)</f>
        <v>N/A</v>
      </c>
      <c r="P106" s="584" t="str">
        <f>IF(VLOOKUP($A106,'Pre-Assessment Estimator'!$A$10:$Z$224,P$2,FALSE)=0,"",VLOOKUP($A106,'Pre-Assessment Estimator'!$A$10:$Z$224,P$2,FALSE))</f>
        <v/>
      </c>
      <c r="Q106" s="584" t="str">
        <f>IF(VLOOKUP($A106,'Pre-Assessment Estimator'!$A$10:$Z$224,Q$2,FALSE)=0,"",VLOOKUP($A106,'Pre-Assessment Estimator'!$A$10:$Z$224,Q$2,FALSE))</f>
        <v/>
      </c>
      <c r="R106" s="585" t="str">
        <f>IF(VLOOKUP($A106,'Pre-Assessment Estimator'!$A$10:$Z$224,R$2,FALSE)=0,"",VLOOKUP($A106,'Pre-Assessment Estimator'!$A$10:$Z$224,R$2,FALSE))</f>
        <v/>
      </c>
      <c r="S106" s="588"/>
      <c r="T106" s="587" t="str">
        <f>IF(VLOOKUP($A106,'Pre-Assessment Estimator'!$A$10:$Z$224,T$2,FALSE)=0,"",VLOOKUP($A106,'Pre-Assessment Estimator'!$A$10:$Z$224,T$2,FALSE))</f>
        <v/>
      </c>
      <c r="U106" s="582" t="str">
        <f>VLOOKUP($A106,'Pre-Assessment Estimator'!$A$10:$Z$224,U$2,FALSE)</f>
        <v>0 c. 0 %</v>
      </c>
      <c r="V106" s="581" t="str">
        <f>VLOOKUP($A106,'Pre-Assessment Estimator'!$A$10:$Z$224,V$2,FALSE)</f>
        <v>N/A</v>
      </c>
      <c r="W106" s="584" t="str">
        <f>IF(VLOOKUP($A106,'Pre-Assessment Estimator'!$A$10:$Z$224,W$2,FALSE)=0,"",VLOOKUP($A106,'Pre-Assessment Estimator'!$A$10:$Z$224,W$2,FALSE))</f>
        <v/>
      </c>
      <c r="X106" s="584" t="str">
        <f>IF(VLOOKUP($A106,'Pre-Assessment Estimator'!$A$10:$Z$224,X$2,FALSE)=0,"",VLOOKUP($A106,'Pre-Assessment Estimator'!$A$10:$Z$224,X$2,FALSE))</f>
        <v/>
      </c>
      <c r="Y106" s="370" t="str">
        <f>IF(VLOOKUP($A106,'Pre-Assessment Estimator'!$A$10:$Z$224,Y$2,FALSE)=0,"",VLOOKUP($A106,'Pre-Assessment Estimator'!$A$10:$Z$224,Y$2,FALSE))</f>
        <v/>
      </c>
      <c r="Z106" s="705"/>
      <c r="AA106" s="584"/>
      <c r="AE106" s="386">
        <f t="shared" si="1"/>
        <v>1</v>
      </c>
      <c r="AF106" s="95" t="e">
        <f>VLOOKUP(J106,'Assessment Details'!$O$45:$P$48,2,FALSE)</f>
        <v>#N/A</v>
      </c>
      <c r="AG106" s="95" t="e">
        <f>VLOOKUP(Q106,'Assessment Details'!$O$45:$P$48,2,FALSE)</f>
        <v>#N/A</v>
      </c>
      <c r="AH106" s="95" t="e">
        <f>VLOOKUP(X106,'Assessment Details'!$O$45:$P$48,2,FALSE)</f>
        <v>#N/A</v>
      </c>
    </row>
    <row r="107" spans="1:34" x14ac:dyDescent="0.25">
      <c r="A107" s="836">
        <v>98</v>
      </c>
      <c r="B107" s="1262"/>
      <c r="C107" s="1262"/>
      <c r="D107" s="340" t="str">
        <f>VLOOKUP($A107,'Pre-Assessment Estimator'!$A$10:$Z$224,D$2,FALSE)</f>
        <v>Water meter</v>
      </c>
      <c r="E107" s="581">
        <f>VLOOKUP($A107,'Pre-Assessment Estimator'!$A$10:$Z$224,E$2,FALSE)</f>
        <v>1</v>
      </c>
      <c r="F107" s="587" t="str">
        <f>IF(VLOOKUP($A107,'Pre-Assessment Estimator'!$A$10:$Z$224,F$2,FALSE)=0,"",VLOOKUP($A107,'Pre-Assessment Estimator'!$A$10:$Z$224,F$2,FALSE))</f>
        <v/>
      </c>
      <c r="G107" s="1239">
        <f>VLOOKUP($A107,'Pre-Assessment Estimator'!$A$10:$Z$224,G$2,FALSE)</f>
        <v>0</v>
      </c>
      <c r="H107" s="583" t="str">
        <f>VLOOKUP($A107,'Pre-Assessment Estimator'!$A$10:$Z$224,H$2,FALSE)</f>
        <v>N/A</v>
      </c>
      <c r="I107" s="584" t="str">
        <f>IF(VLOOKUP($A107,'Pre-Assessment Estimator'!$A$10:$Z$224,I$2,FALSE)=0,"",VLOOKUP($A107,'Pre-Assessment Estimator'!$A$10:$Z$224,I$2,FALSE))</f>
        <v/>
      </c>
      <c r="J107" s="584" t="str">
        <f>IF(VLOOKUP($A107,'Pre-Assessment Estimator'!$A$10:$Z$224,J$2,FALSE)=0,"",VLOOKUP($A107,'Pre-Assessment Estimator'!$A$10:$Z$224,J$2,FALSE))</f>
        <v/>
      </c>
      <c r="K107" s="585" t="str">
        <f>IF(VLOOKUP($A107,'Pre-Assessment Estimator'!$A$10:$Z$224,K$2,FALSE)=0,"",VLOOKUP($A107,'Pre-Assessment Estimator'!$A$10:$Z$224,K$2,FALSE))</f>
        <v/>
      </c>
      <c r="L107" s="586"/>
      <c r="M107" s="587" t="str">
        <f>IF(VLOOKUP($A107,'Pre-Assessment Estimator'!$A$10:$Z$224,M$2,FALSE)=0,"",VLOOKUP($A107,'Pre-Assessment Estimator'!$A$10:$Z$224,M$2,FALSE))</f>
        <v/>
      </c>
      <c r="N107" s="582">
        <f>VLOOKUP($A107,'Pre-Assessment Estimator'!$A$10:$Z$224,N$2,FALSE)</f>
        <v>0</v>
      </c>
      <c r="O107" s="581" t="str">
        <f>VLOOKUP($A107,'Pre-Assessment Estimator'!$A$10:$Z$224,O$2,FALSE)</f>
        <v>N/A</v>
      </c>
      <c r="P107" s="584" t="str">
        <f>IF(VLOOKUP($A107,'Pre-Assessment Estimator'!$A$10:$Z$224,P$2,FALSE)=0,"",VLOOKUP($A107,'Pre-Assessment Estimator'!$A$10:$Z$224,P$2,FALSE))</f>
        <v/>
      </c>
      <c r="Q107" s="584" t="str">
        <f>IF(VLOOKUP($A107,'Pre-Assessment Estimator'!$A$10:$Z$224,Q$2,FALSE)=0,"",VLOOKUP($A107,'Pre-Assessment Estimator'!$A$10:$Z$224,Q$2,FALSE))</f>
        <v/>
      </c>
      <c r="R107" s="585" t="str">
        <f>IF(VLOOKUP($A107,'Pre-Assessment Estimator'!$A$10:$Z$224,R$2,FALSE)=0,"",VLOOKUP($A107,'Pre-Assessment Estimator'!$A$10:$Z$224,R$2,FALSE))</f>
        <v/>
      </c>
      <c r="S107" s="588"/>
      <c r="T107" s="587" t="str">
        <f>IF(VLOOKUP($A107,'Pre-Assessment Estimator'!$A$10:$Z$224,T$2,FALSE)=0,"",VLOOKUP($A107,'Pre-Assessment Estimator'!$A$10:$Z$224,T$2,FALSE))</f>
        <v/>
      </c>
      <c r="U107" s="582">
        <f>VLOOKUP($A107,'Pre-Assessment Estimator'!$A$10:$Z$224,U$2,FALSE)</f>
        <v>0</v>
      </c>
      <c r="V107" s="581" t="str">
        <f>VLOOKUP($A107,'Pre-Assessment Estimator'!$A$10:$Z$224,V$2,FALSE)</f>
        <v>N/A</v>
      </c>
      <c r="W107" s="584" t="str">
        <f>IF(VLOOKUP($A107,'Pre-Assessment Estimator'!$A$10:$Z$224,W$2,FALSE)=0,"",VLOOKUP($A107,'Pre-Assessment Estimator'!$A$10:$Z$224,W$2,FALSE))</f>
        <v/>
      </c>
      <c r="X107" s="584" t="str">
        <f>IF(VLOOKUP($A107,'Pre-Assessment Estimator'!$A$10:$Z$224,X$2,FALSE)=0,"",VLOOKUP($A107,'Pre-Assessment Estimator'!$A$10:$Z$224,X$2,FALSE))</f>
        <v/>
      </c>
      <c r="Y107" s="370" t="str">
        <f>IF(VLOOKUP($A107,'Pre-Assessment Estimator'!$A$10:$Z$224,Y$2,FALSE)=0,"",VLOOKUP($A107,'Pre-Assessment Estimator'!$A$10:$Z$224,Y$2,FALSE))</f>
        <v/>
      </c>
      <c r="Z107" s="705"/>
      <c r="AA107" s="584"/>
      <c r="AE107" s="386">
        <f t="shared" si="1"/>
        <v>1</v>
      </c>
      <c r="AF107" s="95" t="e">
        <f>VLOOKUP(J107,'Assessment Details'!$O$45:$P$48,2,FALSE)</f>
        <v>#N/A</v>
      </c>
      <c r="AG107" s="95" t="e">
        <f>VLOOKUP(Q107,'Assessment Details'!$O$45:$P$48,2,FALSE)</f>
        <v>#N/A</v>
      </c>
      <c r="AH107" s="95" t="e">
        <f>VLOOKUP(X107,'Assessment Details'!$O$45:$P$48,2,FALSE)</f>
        <v>#N/A</v>
      </c>
    </row>
    <row r="108" spans="1:34" x14ac:dyDescent="0.25">
      <c r="A108" s="836">
        <v>99</v>
      </c>
      <c r="B108" s="1262"/>
      <c r="C108" s="1262"/>
      <c r="D108" s="993" t="str">
        <f>VLOOKUP($A108,'Pre-Assessment Estimator'!$A$10:$Z$224,D$2,FALSE)</f>
        <v>Wat 03 Water leak detection and prevention</v>
      </c>
      <c r="E108" s="581">
        <f>VLOOKUP($A108,'Pre-Assessment Estimator'!$A$10:$Z$224,E$2,FALSE)</f>
        <v>2</v>
      </c>
      <c r="F108" s="587" t="str">
        <f>IF(VLOOKUP($A108,'Pre-Assessment Estimator'!$A$10:$Z$224,F$2,FALSE)=0,"",VLOOKUP($A108,'Pre-Assessment Estimator'!$A$10:$Z$224,F$2,FALSE))</f>
        <v/>
      </c>
      <c r="G108" s="1239" t="str">
        <f>VLOOKUP($A108,'Pre-Assessment Estimator'!$A$10:$Z$224,G$2,FALSE)</f>
        <v>0 c. 0 %</v>
      </c>
      <c r="H108" s="583" t="str">
        <f>VLOOKUP($A108,'Pre-Assessment Estimator'!$A$10:$Z$224,H$2,FALSE)</f>
        <v>N/A</v>
      </c>
      <c r="I108" s="584" t="str">
        <f>IF(VLOOKUP($A108,'Pre-Assessment Estimator'!$A$10:$Z$224,I$2,FALSE)=0,"",VLOOKUP($A108,'Pre-Assessment Estimator'!$A$10:$Z$224,I$2,FALSE))</f>
        <v/>
      </c>
      <c r="J108" s="584" t="str">
        <f>IF(VLOOKUP($A108,'Pre-Assessment Estimator'!$A$10:$Z$224,J$2,FALSE)=0,"",VLOOKUP($A108,'Pre-Assessment Estimator'!$A$10:$Z$224,J$2,FALSE))</f>
        <v/>
      </c>
      <c r="K108" s="585" t="str">
        <f>IF(VLOOKUP($A108,'Pre-Assessment Estimator'!$A$10:$Z$224,K$2,FALSE)=0,"",VLOOKUP($A108,'Pre-Assessment Estimator'!$A$10:$Z$224,K$2,FALSE))</f>
        <v/>
      </c>
      <c r="L108" s="586"/>
      <c r="M108" s="587" t="str">
        <f>IF(VLOOKUP($A108,'Pre-Assessment Estimator'!$A$10:$Z$224,M$2,FALSE)=0,"",VLOOKUP($A108,'Pre-Assessment Estimator'!$A$10:$Z$224,M$2,FALSE))</f>
        <v/>
      </c>
      <c r="N108" s="582" t="str">
        <f>VLOOKUP($A108,'Pre-Assessment Estimator'!$A$10:$Z$224,N$2,FALSE)</f>
        <v>0 c. 0 %</v>
      </c>
      <c r="O108" s="581" t="str">
        <f>VLOOKUP($A108,'Pre-Assessment Estimator'!$A$10:$Z$224,O$2,FALSE)</f>
        <v>N/A</v>
      </c>
      <c r="P108" s="584" t="str">
        <f>IF(VLOOKUP($A108,'Pre-Assessment Estimator'!$A$10:$Z$224,P$2,FALSE)=0,"",VLOOKUP($A108,'Pre-Assessment Estimator'!$A$10:$Z$224,P$2,FALSE))</f>
        <v/>
      </c>
      <c r="Q108" s="584" t="str">
        <f>IF(VLOOKUP($A108,'Pre-Assessment Estimator'!$A$10:$Z$224,Q$2,FALSE)=0,"",VLOOKUP($A108,'Pre-Assessment Estimator'!$A$10:$Z$224,Q$2,FALSE))</f>
        <v/>
      </c>
      <c r="R108" s="585" t="str">
        <f>IF(VLOOKUP($A108,'Pre-Assessment Estimator'!$A$10:$Z$224,R$2,FALSE)=0,"",VLOOKUP($A108,'Pre-Assessment Estimator'!$A$10:$Z$224,R$2,FALSE))</f>
        <v/>
      </c>
      <c r="S108" s="588"/>
      <c r="T108" s="587" t="str">
        <f>IF(VLOOKUP($A108,'Pre-Assessment Estimator'!$A$10:$Z$224,T$2,FALSE)=0,"",VLOOKUP($A108,'Pre-Assessment Estimator'!$A$10:$Z$224,T$2,FALSE))</f>
        <v/>
      </c>
      <c r="U108" s="582" t="str">
        <f>VLOOKUP($A108,'Pre-Assessment Estimator'!$A$10:$Z$224,U$2,FALSE)</f>
        <v>0 c. 0 %</v>
      </c>
      <c r="V108" s="581" t="str">
        <f>VLOOKUP($A108,'Pre-Assessment Estimator'!$A$10:$Z$224,V$2,FALSE)</f>
        <v>N/A</v>
      </c>
      <c r="W108" s="584" t="str">
        <f>IF(VLOOKUP($A108,'Pre-Assessment Estimator'!$A$10:$Z$224,W$2,FALSE)=0,"",VLOOKUP($A108,'Pre-Assessment Estimator'!$A$10:$Z$224,W$2,FALSE))</f>
        <v/>
      </c>
      <c r="X108" s="584" t="str">
        <f>IF(VLOOKUP($A108,'Pre-Assessment Estimator'!$A$10:$Z$224,X$2,FALSE)=0,"",VLOOKUP($A108,'Pre-Assessment Estimator'!$A$10:$Z$224,X$2,FALSE))</f>
        <v/>
      </c>
      <c r="Y108" s="370" t="str">
        <f>IF(VLOOKUP($A108,'Pre-Assessment Estimator'!$A$10:$Z$224,Y$2,FALSE)=0,"",VLOOKUP($A108,'Pre-Assessment Estimator'!$A$10:$Z$224,Y$2,FALSE))</f>
        <v/>
      </c>
      <c r="Z108" s="705"/>
      <c r="AA108" s="584"/>
      <c r="AE108" s="386">
        <f t="shared" si="1"/>
        <v>1</v>
      </c>
      <c r="AF108" s="95" t="e">
        <f>VLOOKUP(J108,'Assessment Details'!$O$45:$P$48,2,FALSE)</f>
        <v>#N/A</v>
      </c>
      <c r="AG108" s="95" t="e">
        <f>VLOOKUP(Q108,'Assessment Details'!$O$45:$P$48,2,FALSE)</f>
        <v>#N/A</v>
      </c>
      <c r="AH108" s="95" t="e">
        <f>VLOOKUP(X108,'Assessment Details'!$O$45:$P$48,2,FALSE)</f>
        <v>#N/A</v>
      </c>
    </row>
    <row r="109" spans="1:34" x14ac:dyDescent="0.25">
      <c r="A109" s="836">
        <v>100</v>
      </c>
      <c r="B109" s="1262"/>
      <c r="C109" s="1262"/>
      <c r="D109" s="340" t="str">
        <f>VLOOKUP($A109,'Pre-Assessment Estimator'!$A$10:$Z$224,D$2,FALSE)</f>
        <v>Leak detection system</v>
      </c>
      <c r="E109" s="581">
        <f>VLOOKUP($A109,'Pre-Assessment Estimator'!$A$10:$Z$224,E$2,FALSE)</f>
        <v>1</v>
      </c>
      <c r="F109" s="587" t="str">
        <f>IF(VLOOKUP($A109,'Pre-Assessment Estimator'!$A$10:$Z$224,F$2,FALSE)=0,"",VLOOKUP($A109,'Pre-Assessment Estimator'!$A$10:$Z$224,F$2,FALSE))</f>
        <v/>
      </c>
      <c r="G109" s="1239">
        <f>VLOOKUP($A109,'Pre-Assessment Estimator'!$A$10:$Z$224,G$2,FALSE)</f>
        <v>0</v>
      </c>
      <c r="H109" s="583" t="str">
        <f>VLOOKUP($A109,'Pre-Assessment Estimator'!$A$10:$Z$224,H$2,FALSE)</f>
        <v>N/A</v>
      </c>
      <c r="I109" s="584" t="str">
        <f>IF(VLOOKUP($A109,'Pre-Assessment Estimator'!$A$10:$Z$224,I$2,FALSE)=0,"",VLOOKUP($A109,'Pre-Assessment Estimator'!$A$10:$Z$224,I$2,FALSE))</f>
        <v/>
      </c>
      <c r="J109" s="584" t="str">
        <f>IF(VLOOKUP($A109,'Pre-Assessment Estimator'!$A$10:$Z$224,J$2,FALSE)=0,"",VLOOKUP($A109,'Pre-Assessment Estimator'!$A$10:$Z$224,J$2,FALSE))</f>
        <v/>
      </c>
      <c r="K109" s="585" t="str">
        <f>IF(VLOOKUP($A109,'Pre-Assessment Estimator'!$A$10:$Z$224,K$2,FALSE)=0,"",VLOOKUP($A109,'Pre-Assessment Estimator'!$A$10:$Z$224,K$2,FALSE))</f>
        <v/>
      </c>
      <c r="L109" s="586"/>
      <c r="M109" s="587" t="str">
        <f>IF(VLOOKUP($A109,'Pre-Assessment Estimator'!$A$10:$Z$224,M$2,FALSE)=0,"",VLOOKUP($A109,'Pre-Assessment Estimator'!$A$10:$Z$224,M$2,FALSE))</f>
        <v/>
      </c>
      <c r="N109" s="582">
        <f>VLOOKUP($A109,'Pre-Assessment Estimator'!$A$10:$Z$224,N$2,FALSE)</f>
        <v>0</v>
      </c>
      <c r="O109" s="581" t="str">
        <f>VLOOKUP($A109,'Pre-Assessment Estimator'!$A$10:$Z$224,O$2,FALSE)</f>
        <v>N/A</v>
      </c>
      <c r="P109" s="584" t="str">
        <f>IF(VLOOKUP($A109,'Pre-Assessment Estimator'!$A$10:$Z$224,P$2,FALSE)=0,"",VLOOKUP($A109,'Pre-Assessment Estimator'!$A$10:$Z$224,P$2,FALSE))</f>
        <v/>
      </c>
      <c r="Q109" s="584" t="str">
        <f>IF(VLOOKUP($A109,'Pre-Assessment Estimator'!$A$10:$Z$224,Q$2,FALSE)=0,"",VLOOKUP($A109,'Pre-Assessment Estimator'!$A$10:$Z$224,Q$2,FALSE))</f>
        <v/>
      </c>
      <c r="R109" s="585" t="str">
        <f>IF(VLOOKUP($A109,'Pre-Assessment Estimator'!$A$10:$Z$224,R$2,FALSE)=0,"",VLOOKUP($A109,'Pre-Assessment Estimator'!$A$10:$Z$224,R$2,FALSE))</f>
        <v/>
      </c>
      <c r="S109" s="588"/>
      <c r="T109" s="587" t="str">
        <f>IF(VLOOKUP($A109,'Pre-Assessment Estimator'!$A$10:$Z$224,T$2,FALSE)=0,"",VLOOKUP($A109,'Pre-Assessment Estimator'!$A$10:$Z$224,T$2,FALSE))</f>
        <v/>
      </c>
      <c r="U109" s="582">
        <f>VLOOKUP($A109,'Pre-Assessment Estimator'!$A$10:$Z$224,U$2,FALSE)</f>
        <v>0</v>
      </c>
      <c r="V109" s="581" t="str">
        <f>VLOOKUP($A109,'Pre-Assessment Estimator'!$A$10:$Z$224,V$2,FALSE)</f>
        <v>N/A</v>
      </c>
      <c r="W109" s="584" t="str">
        <f>IF(VLOOKUP($A109,'Pre-Assessment Estimator'!$A$10:$Z$224,W$2,FALSE)=0,"",VLOOKUP($A109,'Pre-Assessment Estimator'!$A$10:$Z$224,W$2,FALSE))</f>
        <v/>
      </c>
      <c r="X109" s="584" t="str">
        <f>IF(VLOOKUP($A109,'Pre-Assessment Estimator'!$A$10:$Z$224,X$2,FALSE)=0,"",VLOOKUP($A109,'Pre-Assessment Estimator'!$A$10:$Z$224,X$2,FALSE))</f>
        <v/>
      </c>
      <c r="Y109" s="370" t="str">
        <f>IF(VLOOKUP($A109,'Pre-Assessment Estimator'!$A$10:$Z$224,Y$2,FALSE)=0,"",VLOOKUP($A109,'Pre-Assessment Estimator'!$A$10:$Z$224,Y$2,FALSE))</f>
        <v/>
      </c>
      <c r="Z109" s="705"/>
      <c r="AA109" s="584"/>
      <c r="AE109" s="386">
        <f t="shared" si="1"/>
        <v>1</v>
      </c>
      <c r="AF109" s="95" t="e">
        <f>VLOOKUP(J109,'Assessment Details'!$O$45:$P$48,2,FALSE)</f>
        <v>#N/A</v>
      </c>
      <c r="AG109" s="95" t="e">
        <f>VLOOKUP(Q109,'Assessment Details'!$O$45:$P$48,2,FALSE)</f>
        <v>#N/A</v>
      </c>
      <c r="AH109" s="95" t="e">
        <f>VLOOKUP(X109,'Assessment Details'!$O$45:$P$48,2,FALSE)</f>
        <v>#N/A</v>
      </c>
    </row>
    <row r="110" spans="1:34" x14ac:dyDescent="0.25">
      <c r="A110" s="836">
        <v>101</v>
      </c>
      <c r="B110" s="1262"/>
      <c r="C110" s="1262"/>
      <c r="D110" s="340" t="str">
        <f>VLOOKUP($A110,'Pre-Assessment Estimator'!$A$10:$Z$224,D$2,FALSE)</f>
        <v>Flow control devices</v>
      </c>
      <c r="E110" s="581">
        <f>VLOOKUP($A110,'Pre-Assessment Estimator'!$A$10:$Z$224,E$2,FALSE)</f>
        <v>1</v>
      </c>
      <c r="F110" s="587" t="str">
        <f>IF(VLOOKUP($A110,'Pre-Assessment Estimator'!$A$10:$Z$224,F$2,FALSE)=0,"",VLOOKUP($A110,'Pre-Assessment Estimator'!$A$10:$Z$224,F$2,FALSE))</f>
        <v/>
      </c>
      <c r="G110" s="1239">
        <f>VLOOKUP($A110,'Pre-Assessment Estimator'!$A$10:$Z$224,G$2,FALSE)</f>
        <v>0</v>
      </c>
      <c r="H110" s="583" t="str">
        <f>VLOOKUP($A110,'Pre-Assessment Estimator'!$A$10:$Z$224,H$2,FALSE)</f>
        <v>N/A</v>
      </c>
      <c r="I110" s="584" t="str">
        <f>IF(VLOOKUP($A110,'Pre-Assessment Estimator'!$A$10:$Z$224,I$2,FALSE)=0,"",VLOOKUP($A110,'Pre-Assessment Estimator'!$A$10:$Z$224,I$2,FALSE))</f>
        <v/>
      </c>
      <c r="J110" s="584" t="str">
        <f>IF(VLOOKUP($A110,'Pre-Assessment Estimator'!$A$10:$Z$224,J$2,FALSE)=0,"",VLOOKUP($A110,'Pre-Assessment Estimator'!$A$10:$Z$224,J$2,FALSE))</f>
        <v/>
      </c>
      <c r="K110" s="585" t="str">
        <f>IF(VLOOKUP($A110,'Pre-Assessment Estimator'!$A$10:$Z$224,K$2,FALSE)=0,"",VLOOKUP($A110,'Pre-Assessment Estimator'!$A$10:$Z$224,K$2,FALSE))</f>
        <v/>
      </c>
      <c r="L110" s="586"/>
      <c r="M110" s="587" t="str">
        <f>IF(VLOOKUP($A110,'Pre-Assessment Estimator'!$A$10:$Z$224,M$2,FALSE)=0,"",VLOOKUP($A110,'Pre-Assessment Estimator'!$A$10:$Z$224,M$2,FALSE))</f>
        <v/>
      </c>
      <c r="N110" s="582">
        <f>VLOOKUP($A110,'Pre-Assessment Estimator'!$A$10:$Z$224,N$2,FALSE)</f>
        <v>0</v>
      </c>
      <c r="O110" s="581" t="str">
        <f>VLOOKUP($A110,'Pre-Assessment Estimator'!$A$10:$Z$224,O$2,FALSE)</f>
        <v>N/A</v>
      </c>
      <c r="P110" s="584" t="str">
        <f>IF(VLOOKUP($A110,'Pre-Assessment Estimator'!$A$10:$Z$224,P$2,FALSE)=0,"",VLOOKUP($A110,'Pre-Assessment Estimator'!$A$10:$Z$224,P$2,FALSE))</f>
        <v/>
      </c>
      <c r="Q110" s="584" t="str">
        <f>IF(VLOOKUP($A110,'Pre-Assessment Estimator'!$A$10:$Z$224,Q$2,FALSE)=0,"",VLOOKUP($A110,'Pre-Assessment Estimator'!$A$10:$Z$224,Q$2,FALSE))</f>
        <v/>
      </c>
      <c r="R110" s="585" t="str">
        <f>IF(VLOOKUP($A110,'Pre-Assessment Estimator'!$A$10:$Z$224,R$2,FALSE)=0,"",VLOOKUP($A110,'Pre-Assessment Estimator'!$A$10:$Z$224,R$2,FALSE))</f>
        <v/>
      </c>
      <c r="S110" s="588"/>
      <c r="T110" s="587" t="str">
        <f>IF(VLOOKUP($A110,'Pre-Assessment Estimator'!$A$10:$Z$224,T$2,FALSE)=0,"",VLOOKUP($A110,'Pre-Assessment Estimator'!$A$10:$Z$224,T$2,FALSE))</f>
        <v/>
      </c>
      <c r="U110" s="582">
        <f>VLOOKUP($A110,'Pre-Assessment Estimator'!$A$10:$Z$224,U$2,FALSE)</f>
        <v>0</v>
      </c>
      <c r="V110" s="581" t="str">
        <f>VLOOKUP($A110,'Pre-Assessment Estimator'!$A$10:$Z$224,V$2,FALSE)</f>
        <v>N/A</v>
      </c>
      <c r="W110" s="584" t="str">
        <f>IF(VLOOKUP($A110,'Pre-Assessment Estimator'!$A$10:$Z$224,W$2,FALSE)=0,"",VLOOKUP($A110,'Pre-Assessment Estimator'!$A$10:$Z$224,W$2,FALSE))</f>
        <v/>
      </c>
      <c r="X110" s="584" t="str">
        <f>IF(VLOOKUP($A110,'Pre-Assessment Estimator'!$A$10:$Z$224,X$2,FALSE)=0,"",VLOOKUP($A110,'Pre-Assessment Estimator'!$A$10:$Z$224,X$2,FALSE))</f>
        <v/>
      </c>
      <c r="Y110" s="370" t="str">
        <f>IF(VLOOKUP($A110,'Pre-Assessment Estimator'!$A$10:$Z$224,Y$2,FALSE)=0,"",VLOOKUP($A110,'Pre-Assessment Estimator'!$A$10:$Z$224,Y$2,FALSE))</f>
        <v/>
      </c>
      <c r="Z110" s="705"/>
      <c r="AA110" s="584"/>
      <c r="AE110" s="386">
        <f t="shared" si="1"/>
        <v>1</v>
      </c>
      <c r="AF110" s="95" t="e">
        <f>VLOOKUP(J110,'Assessment Details'!$O$45:$P$48,2,FALSE)</f>
        <v>#N/A</v>
      </c>
      <c r="AG110" s="95" t="e">
        <f>VLOOKUP(Q110,'Assessment Details'!$O$45:$P$48,2,FALSE)</f>
        <v>#N/A</v>
      </c>
      <c r="AH110" s="95" t="e">
        <f>VLOOKUP(X110,'Assessment Details'!$O$45:$P$48,2,FALSE)</f>
        <v>#N/A</v>
      </c>
    </row>
    <row r="111" spans="1:34" x14ac:dyDescent="0.25">
      <c r="A111" s="836">
        <v>102</v>
      </c>
      <c r="B111" s="1262"/>
      <c r="C111" s="1262"/>
      <c r="D111" s="340" t="str">
        <f>VLOOKUP($A111,'Pre-Assessment Estimator'!$A$10:$Z$224,D$2,FALSE)</f>
        <v>Leak isolation</v>
      </c>
      <c r="E111" s="581">
        <f>VLOOKUP($A111,'Pre-Assessment Estimator'!$A$10:$Z$224,E$2,FALSE)</f>
        <v>0</v>
      </c>
      <c r="F111" s="587" t="str">
        <f>IF(VLOOKUP($A111,'Pre-Assessment Estimator'!$A$10:$Z$224,F$2,FALSE)=0,"",VLOOKUP($A111,'Pre-Assessment Estimator'!$A$10:$Z$224,F$2,FALSE))</f>
        <v/>
      </c>
      <c r="G111" s="1239">
        <f>VLOOKUP($A111,'Pre-Assessment Estimator'!$A$10:$Z$224,G$2,FALSE)</f>
        <v>0</v>
      </c>
      <c r="H111" s="583" t="str">
        <f>VLOOKUP($A111,'Pre-Assessment Estimator'!$A$10:$Z$224,H$2,FALSE)</f>
        <v>N/A</v>
      </c>
      <c r="I111" s="584" t="str">
        <f>IF(VLOOKUP($A111,'Pre-Assessment Estimator'!$A$10:$Z$224,I$2,FALSE)=0,"",VLOOKUP($A111,'Pre-Assessment Estimator'!$A$10:$Z$224,I$2,FALSE))</f>
        <v/>
      </c>
      <c r="J111" s="584" t="str">
        <f>IF(VLOOKUP($A111,'Pre-Assessment Estimator'!$A$10:$Z$224,J$2,FALSE)=0,"",VLOOKUP($A111,'Pre-Assessment Estimator'!$A$10:$Z$224,J$2,FALSE))</f>
        <v/>
      </c>
      <c r="K111" s="585" t="str">
        <f>IF(VLOOKUP($A111,'Pre-Assessment Estimator'!$A$10:$Z$224,K$2,FALSE)=0,"",VLOOKUP($A111,'Pre-Assessment Estimator'!$A$10:$Z$224,K$2,FALSE))</f>
        <v/>
      </c>
      <c r="L111" s="586"/>
      <c r="M111" s="587" t="str">
        <f>IF(VLOOKUP($A111,'Pre-Assessment Estimator'!$A$10:$Z$224,M$2,FALSE)=0,"",VLOOKUP($A111,'Pre-Assessment Estimator'!$A$10:$Z$224,M$2,FALSE))</f>
        <v/>
      </c>
      <c r="N111" s="582">
        <f>VLOOKUP($A111,'Pre-Assessment Estimator'!$A$10:$Z$224,N$2,FALSE)</f>
        <v>0</v>
      </c>
      <c r="O111" s="581" t="str">
        <f>VLOOKUP($A111,'Pre-Assessment Estimator'!$A$10:$Z$224,O$2,FALSE)</f>
        <v>N/A</v>
      </c>
      <c r="P111" s="584" t="str">
        <f>IF(VLOOKUP($A111,'Pre-Assessment Estimator'!$A$10:$Z$224,P$2,FALSE)=0,"",VLOOKUP($A111,'Pre-Assessment Estimator'!$A$10:$Z$224,P$2,FALSE))</f>
        <v/>
      </c>
      <c r="Q111" s="584" t="str">
        <f>IF(VLOOKUP($A111,'Pre-Assessment Estimator'!$A$10:$Z$224,Q$2,FALSE)=0,"",VLOOKUP($A111,'Pre-Assessment Estimator'!$A$10:$Z$224,Q$2,FALSE))</f>
        <v/>
      </c>
      <c r="R111" s="585" t="str">
        <f>IF(VLOOKUP($A111,'Pre-Assessment Estimator'!$A$10:$Z$224,R$2,FALSE)=0,"",VLOOKUP($A111,'Pre-Assessment Estimator'!$A$10:$Z$224,R$2,FALSE))</f>
        <v/>
      </c>
      <c r="S111" s="588"/>
      <c r="T111" s="587" t="str">
        <f>IF(VLOOKUP($A111,'Pre-Assessment Estimator'!$A$10:$Z$224,T$2,FALSE)=0,"",VLOOKUP($A111,'Pre-Assessment Estimator'!$A$10:$Z$224,T$2,FALSE))</f>
        <v/>
      </c>
      <c r="U111" s="582">
        <f>VLOOKUP($A111,'Pre-Assessment Estimator'!$A$10:$Z$224,U$2,FALSE)</f>
        <v>0</v>
      </c>
      <c r="V111" s="581" t="str">
        <f>VLOOKUP($A111,'Pre-Assessment Estimator'!$A$10:$Z$224,V$2,FALSE)</f>
        <v>N/A</v>
      </c>
      <c r="W111" s="584" t="str">
        <f>IF(VLOOKUP($A111,'Pre-Assessment Estimator'!$A$10:$Z$224,W$2,FALSE)=0,"",VLOOKUP($A111,'Pre-Assessment Estimator'!$A$10:$Z$224,W$2,FALSE))</f>
        <v/>
      </c>
      <c r="X111" s="584" t="str">
        <f>IF(VLOOKUP($A111,'Pre-Assessment Estimator'!$A$10:$Z$224,X$2,FALSE)=0,"",VLOOKUP($A111,'Pre-Assessment Estimator'!$A$10:$Z$224,X$2,FALSE))</f>
        <v/>
      </c>
      <c r="Y111" s="370" t="str">
        <f>IF(VLOOKUP($A111,'Pre-Assessment Estimator'!$A$10:$Z$224,Y$2,FALSE)=0,"",VLOOKUP($A111,'Pre-Assessment Estimator'!$A$10:$Z$224,Y$2,FALSE))</f>
        <v/>
      </c>
      <c r="Z111" s="705"/>
      <c r="AA111" s="584"/>
      <c r="AE111" s="386">
        <f t="shared" si="1"/>
        <v>2</v>
      </c>
      <c r="AF111" s="95" t="e">
        <f>VLOOKUP(J111,'Assessment Details'!$O$45:$P$48,2,FALSE)</f>
        <v>#N/A</v>
      </c>
      <c r="AG111" s="95" t="e">
        <f>VLOOKUP(Q111,'Assessment Details'!$O$45:$P$48,2,FALSE)</f>
        <v>#N/A</v>
      </c>
      <c r="AH111" s="95" t="e">
        <f>VLOOKUP(X111,'Assessment Details'!$O$45:$P$48,2,FALSE)</f>
        <v>#N/A</v>
      </c>
    </row>
    <row r="112" spans="1:34" x14ac:dyDescent="0.25">
      <c r="A112" s="836">
        <v>103</v>
      </c>
      <c r="B112" s="1262"/>
      <c r="C112" s="1262"/>
      <c r="D112" s="993" t="str">
        <f>VLOOKUP($A112,'Pre-Assessment Estimator'!$A$10:$Z$224,D$2,FALSE)</f>
        <v>Wat 04 Water efficient equipment</v>
      </c>
      <c r="E112" s="581">
        <f>VLOOKUP($A112,'Pre-Assessment Estimator'!$A$10:$Z$224,E$2,FALSE)</f>
        <v>1</v>
      </c>
      <c r="F112" s="587" t="str">
        <f>IF(VLOOKUP($A112,'Pre-Assessment Estimator'!$A$10:$Z$224,F$2,FALSE)=0,"",VLOOKUP($A112,'Pre-Assessment Estimator'!$A$10:$Z$224,F$2,FALSE))</f>
        <v/>
      </c>
      <c r="G112" s="1239" t="str">
        <f>VLOOKUP($A112,'Pre-Assessment Estimator'!$A$10:$Z$224,G$2,FALSE)</f>
        <v>0 c. 0 %</v>
      </c>
      <c r="H112" s="583" t="str">
        <f>VLOOKUP($A112,'Pre-Assessment Estimator'!$A$10:$Z$224,H$2,FALSE)</f>
        <v>N/A</v>
      </c>
      <c r="I112" s="584" t="str">
        <f>IF(VLOOKUP($A112,'Pre-Assessment Estimator'!$A$10:$Z$224,I$2,FALSE)=0,"",VLOOKUP($A112,'Pre-Assessment Estimator'!$A$10:$Z$224,I$2,FALSE))</f>
        <v/>
      </c>
      <c r="J112" s="584" t="str">
        <f>IF(VLOOKUP($A112,'Pre-Assessment Estimator'!$A$10:$Z$224,J$2,FALSE)=0,"",VLOOKUP($A112,'Pre-Assessment Estimator'!$A$10:$Z$224,J$2,FALSE))</f>
        <v/>
      </c>
      <c r="K112" s="585" t="str">
        <f>IF(VLOOKUP($A112,'Pre-Assessment Estimator'!$A$10:$Z$224,K$2,FALSE)=0,"",VLOOKUP($A112,'Pre-Assessment Estimator'!$A$10:$Z$224,K$2,FALSE))</f>
        <v/>
      </c>
      <c r="L112" s="586"/>
      <c r="M112" s="587" t="str">
        <f>IF(VLOOKUP($A112,'Pre-Assessment Estimator'!$A$10:$Z$224,M$2,FALSE)=0,"",VLOOKUP($A112,'Pre-Assessment Estimator'!$A$10:$Z$224,M$2,FALSE))</f>
        <v/>
      </c>
      <c r="N112" s="582" t="str">
        <f>VLOOKUP($A112,'Pre-Assessment Estimator'!$A$10:$Z$224,N$2,FALSE)</f>
        <v>0 c. 0 %</v>
      </c>
      <c r="O112" s="581" t="str">
        <f>VLOOKUP($A112,'Pre-Assessment Estimator'!$A$10:$Z$224,O$2,FALSE)</f>
        <v>N/A</v>
      </c>
      <c r="P112" s="584" t="str">
        <f>IF(VLOOKUP($A112,'Pre-Assessment Estimator'!$A$10:$Z$224,P$2,FALSE)=0,"",VLOOKUP($A112,'Pre-Assessment Estimator'!$A$10:$Z$224,P$2,FALSE))</f>
        <v/>
      </c>
      <c r="Q112" s="584" t="str">
        <f>IF(VLOOKUP($A112,'Pre-Assessment Estimator'!$A$10:$Z$224,Q$2,FALSE)=0,"",VLOOKUP($A112,'Pre-Assessment Estimator'!$A$10:$Z$224,Q$2,FALSE))</f>
        <v/>
      </c>
      <c r="R112" s="585" t="str">
        <f>IF(VLOOKUP($A112,'Pre-Assessment Estimator'!$A$10:$Z$224,R$2,FALSE)=0,"",VLOOKUP($A112,'Pre-Assessment Estimator'!$A$10:$Z$224,R$2,FALSE))</f>
        <v/>
      </c>
      <c r="S112" s="588"/>
      <c r="T112" s="587" t="str">
        <f>IF(VLOOKUP($A112,'Pre-Assessment Estimator'!$A$10:$Z$224,T$2,FALSE)=0,"",VLOOKUP($A112,'Pre-Assessment Estimator'!$A$10:$Z$224,T$2,FALSE))</f>
        <v/>
      </c>
      <c r="U112" s="582" t="str">
        <f>VLOOKUP($A112,'Pre-Assessment Estimator'!$A$10:$Z$224,U$2,FALSE)</f>
        <v>0 c. 0 %</v>
      </c>
      <c r="V112" s="581" t="str">
        <f>VLOOKUP($A112,'Pre-Assessment Estimator'!$A$10:$Z$224,V$2,FALSE)</f>
        <v>N/A</v>
      </c>
      <c r="W112" s="584" t="str">
        <f>IF(VLOOKUP($A112,'Pre-Assessment Estimator'!$A$10:$Z$224,W$2,FALSE)=0,"",VLOOKUP($A112,'Pre-Assessment Estimator'!$A$10:$Z$224,W$2,FALSE))</f>
        <v/>
      </c>
      <c r="X112" s="584" t="str">
        <f>IF(VLOOKUP($A112,'Pre-Assessment Estimator'!$A$10:$Z$224,X$2,FALSE)=0,"",VLOOKUP($A112,'Pre-Assessment Estimator'!$A$10:$Z$224,X$2,FALSE))</f>
        <v/>
      </c>
      <c r="Y112" s="370" t="str">
        <f>IF(VLOOKUP($A112,'Pre-Assessment Estimator'!$A$10:$Z$224,Y$2,FALSE)=0,"",VLOOKUP($A112,'Pre-Assessment Estimator'!$A$10:$Z$224,Y$2,FALSE))</f>
        <v/>
      </c>
      <c r="Z112" s="705"/>
      <c r="AA112" s="584"/>
      <c r="AE112" s="386">
        <f t="shared" si="1"/>
        <v>1</v>
      </c>
      <c r="AF112" s="95" t="e">
        <f>VLOOKUP(J112,'Assessment Details'!$O$45:$P$48,2,FALSE)</f>
        <v>#N/A</v>
      </c>
      <c r="AG112" s="95" t="e">
        <f>VLOOKUP(Q112,'Assessment Details'!$O$45:$P$48,2,FALSE)</f>
        <v>#N/A</v>
      </c>
      <c r="AH112" s="95" t="e">
        <f>VLOOKUP(X112,'Assessment Details'!$O$45:$P$48,2,FALSE)</f>
        <v>#N/A</v>
      </c>
    </row>
    <row r="113" spans="1:34" ht="15.75" thickBot="1" x14ac:dyDescent="0.3">
      <c r="A113" s="836">
        <v>104</v>
      </c>
      <c r="B113" s="1262" t="s">
        <v>61</v>
      </c>
      <c r="C113" s="1262"/>
      <c r="D113" s="340" t="str">
        <f>VLOOKUP($A113,'Pre-Assessment Estimator'!$A$10:$Z$224,D$2,FALSE)</f>
        <v>Water efficient equipment</v>
      </c>
      <c r="E113" s="581">
        <f>VLOOKUP($A113,'Pre-Assessment Estimator'!$A$10:$Z$224,E$2,FALSE)</f>
        <v>1</v>
      </c>
      <c r="F113" s="587" t="str">
        <f>IF(VLOOKUP($A113,'Pre-Assessment Estimator'!$A$10:$Z$224,F$2,FALSE)=0,"",VLOOKUP($A113,'Pre-Assessment Estimator'!$A$10:$Z$224,F$2,FALSE))</f>
        <v/>
      </c>
      <c r="G113" s="1239">
        <f>VLOOKUP($A113,'Pre-Assessment Estimator'!$A$10:$Z$224,G$2,FALSE)</f>
        <v>0</v>
      </c>
      <c r="H113" s="583" t="str">
        <f>VLOOKUP($A113,'Pre-Assessment Estimator'!$A$10:$Z$224,H$2,FALSE)</f>
        <v>N/A</v>
      </c>
      <c r="I113" s="584" t="str">
        <f>IF(VLOOKUP($A113,'Pre-Assessment Estimator'!$A$10:$Z$224,I$2,FALSE)=0,"",VLOOKUP($A113,'Pre-Assessment Estimator'!$A$10:$Z$224,I$2,FALSE))</f>
        <v/>
      </c>
      <c r="J113" s="584" t="str">
        <f>IF(VLOOKUP($A113,'Pre-Assessment Estimator'!$A$10:$Z$224,J$2,FALSE)=0,"",VLOOKUP($A113,'Pre-Assessment Estimator'!$A$10:$Z$224,J$2,FALSE))</f>
        <v/>
      </c>
      <c r="K113" s="585" t="str">
        <f>IF(VLOOKUP($A113,'Pre-Assessment Estimator'!$A$10:$Z$224,K$2,FALSE)=0,"",VLOOKUP($A113,'Pre-Assessment Estimator'!$A$10:$Z$224,K$2,FALSE))</f>
        <v/>
      </c>
      <c r="L113" s="586"/>
      <c r="M113" s="587" t="str">
        <f>IF(VLOOKUP($A113,'Pre-Assessment Estimator'!$A$10:$Z$224,M$2,FALSE)=0,"",VLOOKUP($A113,'Pre-Assessment Estimator'!$A$10:$Z$224,M$2,FALSE))</f>
        <v/>
      </c>
      <c r="N113" s="582">
        <f>VLOOKUP($A113,'Pre-Assessment Estimator'!$A$10:$Z$224,N$2,FALSE)</f>
        <v>0</v>
      </c>
      <c r="O113" s="581" t="str">
        <f>VLOOKUP($A113,'Pre-Assessment Estimator'!$A$10:$Z$224,O$2,FALSE)</f>
        <v>N/A</v>
      </c>
      <c r="P113" s="584" t="str">
        <f>IF(VLOOKUP($A113,'Pre-Assessment Estimator'!$A$10:$Z$224,P$2,FALSE)=0,"",VLOOKUP($A113,'Pre-Assessment Estimator'!$A$10:$Z$224,P$2,FALSE))</f>
        <v/>
      </c>
      <c r="Q113" s="584" t="str">
        <f>IF(VLOOKUP($A113,'Pre-Assessment Estimator'!$A$10:$Z$224,Q$2,FALSE)=0,"",VLOOKUP($A113,'Pre-Assessment Estimator'!$A$10:$Z$224,Q$2,FALSE))</f>
        <v/>
      </c>
      <c r="R113" s="585" t="str">
        <f>IF(VLOOKUP($A113,'Pre-Assessment Estimator'!$A$10:$Z$224,R$2,FALSE)=0,"",VLOOKUP($A113,'Pre-Assessment Estimator'!$A$10:$Z$224,R$2,FALSE))</f>
        <v/>
      </c>
      <c r="S113" s="588"/>
      <c r="T113" s="587" t="str">
        <f>IF(VLOOKUP($A113,'Pre-Assessment Estimator'!$A$10:$Z$224,T$2,FALSE)=0,"",VLOOKUP($A113,'Pre-Assessment Estimator'!$A$10:$Z$224,T$2,FALSE))</f>
        <v/>
      </c>
      <c r="U113" s="582">
        <f>VLOOKUP($A113,'Pre-Assessment Estimator'!$A$10:$Z$224,U$2,FALSE)</f>
        <v>0</v>
      </c>
      <c r="V113" s="581" t="str">
        <f>VLOOKUP($A113,'Pre-Assessment Estimator'!$A$10:$Z$224,V$2,FALSE)</f>
        <v>N/A</v>
      </c>
      <c r="W113" s="584" t="str">
        <f>IF(VLOOKUP($A113,'Pre-Assessment Estimator'!$A$10:$Z$224,W$2,FALSE)=0,"",VLOOKUP($A113,'Pre-Assessment Estimator'!$A$10:$Z$224,W$2,FALSE))</f>
        <v/>
      </c>
      <c r="X113" s="584" t="str">
        <f>IF(VLOOKUP($A113,'Pre-Assessment Estimator'!$A$10:$Z$224,X$2,FALSE)=0,"",VLOOKUP($A113,'Pre-Assessment Estimator'!$A$10:$Z$224,X$2,FALSE))</f>
        <v/>
      </c>
      <c r="Y113" s="370" t="str">
        <f>IF(VLOOKUP($A113,'Pre-Assessment Estimator'!$A$10:$Z$224,Y$2,FALSE)=0,"",VLOOKUP($A113,'Pre-Assessment Estimator'!$A$10:$Z$224,Y$2,FALSE))</f>
        <v/>
      </c>
      <c r="Z113" s="705"/>
      <c r="AA113" s="584" t="str">
        <f>IF(VLOOKUP($A113,'Pre-Assessment Estimator'!$A$10:$AB$224,AA$2,FALSE)=0,"",VLOOKUP($A113,'Pre-Assessment Estimator'!$A$10:$AB$224,AA$2,FALSE))</f>
        <v/>
      </c>
      <c r="AE113" s="386">
        <f t="shared" si="1"/>
        <v>1</v>
      </c>
      <c r="AF113" s="276">
        <v>0</v>
      </c>
      <c r="AG113" s="276">
        <v>0</v>
      </c>
      <c r="AH113" s="276">
        <v>0</v>
      </c>
    </row>
    <row r="114" spans="1:34" ht="30.75" thickBot="1" x14ac:dyDescent="0.3">
      <c r="A114" s="836">
        <v>105</v>
      </c>
      <c r="B114" s="1262" t="s">
        <v>61</v>
      </c>
      <c r="C114" s="1262"/>
      <c r="D114" s="341" t="str">
        <f>VLOOKUP($A114,'Pre-Assessment Estimator'!$A$10:$Z$224,D$2,FALSE)</f>
        <v>Total performance water</v>
      </c>
      <c r="E114" s="589">
        <f>VLOOKUP($A114,'Pre-Assessment Estimator'!$A$10:$Z$224,E$2,FALSE)</f>
        <v>9</v>
      </c>
      <c r="F114" s="591" t="str">
        <f>IF(VLOOKUP($A114,'Pre-Assessment Estimator'!$A$10:$Z$224,F$2,FALSE)=0,"",VLOOKUP($A114,'Pre-Assessment Estimator'!$A$10:$Z$224,F$2,FALSE))</f>
        <v/>
      </c>
      <c r="G114" s="590">
        <f>VLOOKUP($A114,'Pre-Assessment Estimator'!$A$10:$Z$224,G$2,FALSE)</f>
        <v>0</v>
      </c>
      <c r="H114" s="589" t="str">
        <f>VLOOKUP($A114,'Pre-Assessment Estimator'!$A$10:$Z$224,H$2,FALSE)</f>
        <v>Credits achieved: 0</v>
      </c>
      <c r="I114" s="1220" t="str">
        <f>IF(VLOOKUP($A114,'Pre-Assessment Estimator'!$A$10:$Z$224,I$2,FALSE)=0,"",VLOOKUP($A114,'Pre-Assessment Estimator'!$A$10:$Z$224,I$2,FALSE))</f>
        <v/>
      </c>
      <c r="J114" s="1220" t="str">
        <f>IF(VLOOKUP($A114,'Pre-Assessment Estimator'!$A$10:$Z$224,J$2,FALSE)=0,"",VLOOKUP($A114,'Pre-Assessment Estimator'!$A$10:$Z$224,J$2,FALSE))</f>
        <v/>
      </c>
      <c r="K114" s="1240" t="str">
        <f>IF(VLOOKUP($A114,'Pre-Assessment Estimator'!$A$10:$Z$224,K$2,FALSE)=0,"",VLOOKUP($A114,'Pre-Assessment Estimator'!$A$10:$Z$224,K$2,FALSE))</f>
        <v/>
      </c>
      <c r="L114" s="1241"/>
      <c r="M114" s="591" t="str">
        <f>IF(VLOOKUP($A114,'Pre-Assessment Estimator'!$A$10:$Z$224,M$2,FALSE)=0,"",VLOOKUP($A114,'Pre-Assessment Estimator'!$A$10:$Z$224,M$2,FALSE))</f>
        <v/>
      </c>
      <c r="N114" s="590">
        <f>VLOOKUP($A114,'Pre-Assessment Estimator'!$A$10:$Z$224,N$2,FALSE)</f>
        <v>0</v>
      </c>
      <c r="O114" s="589" t="str">
        <f>VLOOKUP($A114,'Pre-Assessment Estimator'!$A$10:$Z$224,O$2,FALSE)</f>
        <v>Credits achieved: 0</v>
      </c>
      <c r="P114" s="1220" t="str">
        <f>IF(VLOOKUP($A114,'Pre-Assessment Estimator'!$A$10:$Z$224,P$2,FALSE)=0,"",VLOOKUP($A114,'Pre-Assessment Estimator'!$A$10:$Z$224,P$2,FALSE))</f>
        <v/>
      </c>
      <c r="Q114" s="1220" t="str">
        <f>IF(VLOOKUP($A114,'Pre-Assessment Estimator'!$A$10:$Z$224,Q$2,FALSE)=0,"",VLOOKUP($A114,'Pre-Assessment Estimator'!$A$10:$Z$224,Q$2,FALSE))</f>
        <v/>
      </c>
      <c r="R114" s="1240" t="str">
        <f>IF(VLOOKUP($A114,'Pre-Assessment Estimator'!$A$10:$Z$224,R$2,FALSE)=0,"",VLOOKUP($A114,'Pre-Assessment Estimator'!$A$10:$Z$224,R$2,FALSE))</f>
        <v/>
      </c>
      <c r="S114" s="1242"/>
      <c r="T114" s="591" t="str">
        <f>IF(VLOOKUP($A114,'Pre-Assessment Estimator'!$A$10:$Z$224,T$2,FALSE)=0,"",VLOOKUP($A114,'Pre-Assessment Estimator'!$A$10:$Z$224,T$2,FALSE))</f>
        <v/>
      </c>
      <c r="U114" s="590">
        <f>VLOOKUP($A114,'Pre-Assessment Estimator'!$A$10:$Z$224,U$2,FALSE)</f>
        <v>0</v>
      </c>
      <c r="V114" s="589" t="str">
        <f>VLOOKUP($A114,'Pre-Assessment Estimator'!$A$10:$Z$224,V$2,FALSE)</f>
        <v>Credits achieved: 0</v>
      </c>
      <c r="W114" s="1220" t="str">
        <f>IF(VLOOKUP($A114,'Pre-Assessment Estimator'!$A$10:$Z$224,W$2,FALSE)=0,"",VLOOKUP($A114,'Pre-Assessment Estimator'!$A$10:$Z$224,W$2,FALSE))</f>
        <v/>
      </c>
      <c r="X114" s="1220" t="str">
        <f>IF(VLOOKUP($A114,'Pre-Assessment Estimator'!$A$10:$Z$224,X$2,FALSE)=0,"",VLOOKUP($A114,'Pre-Assessment Estimator'!$A$10:$Z$224,X$2,FALSE))</f>
        <v/>
      </c>
      <c r="Y114" s="1243" t="str">
        <f>IF(VLOOKUP($A114,'Pre-Assessment Estimator'!$A$10:$Z$224,Y$2,FALSE)=0,"",VLOOKUP($A114,'Pre-Assessment Estimator'!$A$10:$Z$224,Y$2,FALSE))</f>
        <v/>
      </c>
      <c r="Z114" s="706"/>
      <c r="AA114" s="592"/>
      <c r="AB114" s="389"/>
      <c r="AC114" s="389"/>
      <c r="AD114" s="389"/>
      <c r="AE114" s="386">
        <f t="shared" si="1"/>
        <v>1</v>
      </c>
      <c r="AF114" s="278">
        <v>0</v>
      </c>
      <c r="AG114" s="278">
        <v>0</v>
      </c>
      <c r="AH114" s="278">
        <v>0</v>
      </c>
    </row>
    <row r="115" spans="1:34" x14ac:dyDescent="0.25">
      <c r="A115" s="836">
        <v>106</v>
      </c>
      <c r="B115" s="1262" t="s">
        <v>70</v>
      </c>
      <c r="C115" s="1262"/>
      <c r="D115" s="592"/>
      <c r="E115" s="593"/>
      <c r="F115" s="593"/>
      <c r="G115" s="593"/>
      <c r="H115" s="593"/>
      <c r="I115" s="592"/>
      <c r="J115" s="593"/>
      <c r="K115" s="592"/>
      <c r="L115" s="586"/>
      <c r="M115" s="593"/>
      <c r="N115" s="593"/>
      <c r="O115" s="593"/>
      <c r="P115" s="592"/>
      <c r="Q115" s="593"/>
      <c r="R115" s="592"/>
      <c r="S115" s="588"/>
      <c r="T115" s="593"/>
      <c r="U115" s="593"/>
      <c r="V115" s="593"/>
      <c r="W115" s="592"/>
      <c r="X115" s="593"/>
      <c r="Y115" s="343"/>
      <c r="Z115" s="704"/>
      <c r="AA115" s="708"/>
      <c r="AE115" s="386">
        <f t="shared" si="1"/>
        <v>1</v>
      </c>
      <c r="AF115" s="275">
        <v>0</v>
      </c>
      <c r="AG115" s="275">
        <v>0</v>
      </c>
      <c r="AH115" s="275">
        <v>0</v>
      </c>
    </row>
    <row r="116" spans="1:34" ht="18.75" x14ac:dyDescent="0.25">
      <c r="A116" s="836">
        <v>107</v>
      </c>
      <c r="B116" s="1262" t="s">
        <v>70</v>
      </c>
      <c r="C116" s="1262"/>
      <c r="D116" s="594" t="s">
        <v>70</v>
      </c>
      <c r="E116" s="577"/>
      <c r="F116" s="577"/>
      <c r="G116" s="577"/>
      <c r="H116" s="577"/>
      <c r="I116" s="578"/>
      <c r="J116" s="577"/>
      <c r="K116" s="578"/>
      <c r="L116" s="586"/>
      <c r="M116" s="577"/>
      <c r="N116" s="577"/>
      <c r="O116" s="577"/>
      <c r="P116" s="578"/>
      <c r="Q116" s="577"/>
      <c r="R116" s="578"/>
      <c r="S116" s="588"/>
      <c r="T116" s="577"/>
      <c r="U116" s="577"/>
      <c r="V116" s="577"/>
      <c r="W116" s="578"/>
      <c r="X116" s="577"/>
      <c r="Y116" s="411"/>
      <c r="Z116" s="705"/>
      <c r="AA116" s="584" t="str">
        <f>IF(VLOOKUP($A116,'Pre-Assessment Estimator'!$A$10:$AB$224,AA$2,FALSE)=0,"",VLOOKUP($A116,'Pre-Assessment Estimator'!$A$10:$AB$224,AA$2,FALSE))</f>
        <v/>
      </c>
      <c r="AE116" s="386">
        <f t="shared" si="1"/>
        <v>1</v>
      </c>
      <c r="AF116" s="95" t="e">
        <f>VLOOKUP(J116,'Assessment Details'!$O$45:$P$48,2,FALSE)</f>
        <v>#N/A</v>
      </c>
      <c r="AG116" s="95" t="e">
        <f>VLOOKUP(Q116,'Assessment Details'!$O$45:$P$48,2,FALSE)</f>
        <v>#N/A</v>
      </c>
      <c r="AH116" s="95" t="e">
        <f>VLOOKUP(X116,'Assessment Details'!$O$45:$P$48,2,FALSE)</f>
        <v>#N/A</v>
      </c>
    </row>
    <row r="117" spans="1:34" ht="30" x14ac:dyDescent="0.25">
      <c r="A117" s="836">
        <v>108</v>
      </c>
      <c r="B117" s="1262"/>
      <c r="C117" s="1262"/>
      <c r="D117" s="993" t="str">
        <f>VLOOKUP($A117,'Pre-Assessment Estimator'!$A$10:$Z$224,D$2,FALSE)</f>
        <v>Mat 01 Environmental impacts from construction products - Building life cycle assessment (LCA)</v>
      </c>
      <c r="E117" s="581">
        <f>VLOOKUP($A117,'Pre-Assessment Estimator'!$A$10:$Z$224,E$2,FALSE)</f>
        <v>5</v>
      </c>
      <c r="F117" s="587" t="str">
        <f>IF(VLOOKUP($A117,'Pre-Assessment Estimator'!$A$10:$Z$224,F$2,FALSE)=0,"",VLOOKUP($A117,'Pre-Assessment Estimator'!$A$10:$Z$224,F$2,FALSE))</f>
        <v/>
      </c>
      <c r="G117" s="1239" t="str">
        <f>VLOOKUP($A117,'Pre-Assessment Estimator'!$A$10:$Z$224,G$2,FALSE)</f>
        <v>0 c. 0 %</v>
      </c>
      <c r="H117" s="583" t="str">
        <f>VLOOKUP($A117,'Pre-Assessment Estimator'!$A$10:$Z$224,H$2,FALSE)</f>
        <v>N/A</v>
      </c>
      <c r="I117" s="584" t="str">
        <f>IF(VLOOKUP($A117,'Pre-Assessment Estimator'!$A$10:$Z$224,I$2,FALSE)=0,"",VLOOKUP($A117,'Pre-Assessment Estimator'!$A$10:$Z$224,I$2,FALSE))</f>
        <v/>
      </c>
      <c r="J117" s="584" t="str">
        <f>IF(VLOOKUP($A117,'Pre-Assessment Estimator'!$A$10:$Z$224,J$2,FALSE)=0,"",VLOOKUP($A117,'Pre-Assessment Estimator'!$A$10:$Z$224,J$2,FALSE))</f>
        <v/>
      </c>
      <c r="K117" s="585" t="str">
        <f>IF(VLOOKUP($A117,'Pre-Assessment Estimator'!$A$10:$Z$224,K$2,FALSE)=0,"",VLOOKUP($A117,'Pre-Assessment Estimator'!$A$10:$Z$224,K$2,FALSE))</f>
        <v/>
      </c>
      <c r="L117" s="586"/>
      <c r="M117" s="587" t="str">
        <f>IF(VLOOKUP($A117,'Pre-Assessment Estimator'!$A$10:$Z$224,M$2,FALSE)=0,"",VLOOKUP($A117,'Pre-Assessment Estimator'!$A$10:$Z$224,M$2,FALSE))</f>
        <v/>
      </c>
      <c r="N117" s="582" t="str">
        <f>VLOOKUP($A117,'Pre-Assessment Estimator'!$A$10:$Z$224,N$2,FALSE)</f>
        <v>0 c. 0 %</v>
      </c>
      <c r="O117" s="581" t="str">
        <f>VLOOKUP($A117,'Pre-Assessment Estimator'!$A$10:$Z$224,O$2,FALSE)</f>
        <v>N/A</v>
      </c>
      <c r="P117" s="584" t="str">
        <f>IF(VLOOKUP($A117,'Pre-Assessment Estimator'!$A$10:$Z$224,P$2,FALSE)=0,"",VLOOKUP($A117,'Pre-Assessment Estimator'!$A$10:$Z$224,P$2,FALSE))</f>
        <v/>
      </c>
      <c r="Q117" s="584" t="str">
        <f>IF(VLOOKUP($A117,'Pre-Assessment Estimator'!$A$10:$Z$224,Q$2,FALSE)=0,"",VLOOKUP($A117,'Pre-Assessment Estimator'!$A$10:$Z$224,Q$2,FALSE))</f>
        <v/>
      </c>
      <c r="R117" s="585" t="str">
        <f>IF(VLOOKUP($A117,'Pre-Assessment Estimator'!$A$10:$Z$224,R$2,FALSE)=0,"",VLOOKUP($A117,'Pre-Assessment Estimator'!$A$10:$Z$224,R$2,FALSE))</f>
        <v/>
      </c>
      <c r="S117" s="588"/>
      <c r="T117" s="587" t="str">
        <f>IF(VLOOKUP($A117,'Pre-Assessment Estimator'!$A$10:$Z$224,T$2,FALSE)=0,"",VLOOKUP($A117,'Pre-Assessment Estimator'!$A$10:$Z$224,T$2,FALSE))</f>
        <v/>
      </c>
      <c r="U117" s="582" t="str">
        <f>VLOOKUP($A117,'Pre-Assessment Estimator'!$A$10:$Z$224,U$2,FALSE)</f>
        <v>0 c. 0 %</v>
      </c>
      <c r="V117" s="581" t="str">
        <f>VLOOKUP($A117,'Pre-Assessment Estimator'!$A$10:$Z$224,V$2,FALSE)</f>
        <v>N/A</v>
      </c>
      <c r="W117" s="584" t="str">
        <f>IF(VLOOKUP($A117,'Pre-Assessment Estimator'!$A$10:$Z$224,W$2,FALSE)=0,"",VLOOKUP($A117,'Pre-Assessment Estimator'!$A$10:$Z$224,W$2,FALSE))</f>
        <v/>
      </c>
      <c r="X117" s="584" t="str">
        <f>IF(VLOOKUP($A117,'Pre-Assessment Estimator'!$A$10:$Z$224,X$2,FALSE)=0,"",VLOOKUP($A117,'Pre-Assessment Estimator'!$A$10:$Z$224,X$2,FALSE))</f>
        <v/>
      </c>
      <c r="Y117" s="370" t="str">
        <f>IF(VLOOKUP($A117,'Pre-Assessment Estimator'!$A$10:$Z$224,Y$2,FALSE)=0,"",VLOOKUP($A117,'Pre-Assessment Estimator'!$A$10:$Z$224,Y$2,FALSE))</f>
        <v/>
      </c>
      <c r="Z117" s="705"/>
      <c r="AA117" s="584"/>
      <c r="AE117" s="386">
        <f t="shared" si="1"/>
        <v>1</v>
      </c>
      <c r="AF117" s="95" t="e">
        <f>VLOOKUP(J117,'Assessment Details'!$O$45:$P$48,2,FALSE)</f>
        <v>#N/A</v>
      </c>
      <c r="AG117" s="95" t="e">
        <f>VLOOKUP(Q117,'Assessment Details'!$O$45:$P$48,2,FALSE)</f>
        <v>#N/A</v>
      </c>
      <c r="AH117" s="95" t="e">
        <f>VLOOKUP(X117,'Assessment Details'!$O$45:$P$48,2,FALSE)</f>
        <v>#N/A</v>
      </c>
    </row>
    <row r="118" spans="1:34" x14ac:dyDescent="0.25">
      <c r="A118" s="836">
        <v>109</v>
      </c>
      <c r="B118" s="1262"/>
      <c r="C118" s="1262"/>
      <c r="D118" s="340" t="str">
        <f>VLOOKUP($A118,'Pre-Assessment Estimator'!$A$10:$Z$224,D$2,FALSE)</f>
        <v>Pre-requisite: early stage greenhouse gas calculation</v>
      </c>
      <c r="E118" s="581" t="str">
        <f>VLOOKUP($A118,'Pre-Assessment Estimator'!$A$10:$Z$224,E$2,FALSE)</f>
        <v>Yes/No</v>
      </c>
      <c r="F118" s="587" t="str">
        <f>IF(VLOOKUP($A118,'Pre-Assessment Estimator'!$A$10:$Z$224,F$2,FALSE)=0,"",VLOOKUP($A118,'Pre-Assessment Estimator'!$A$10:$Z$224,F$2,FALSE))</f>
        <v/>
      </c>
      <c r="G118" s="1239" t="str">
        <f>VLOOKUP($A118,'Pre-Assessment Estimator'!$A$10:$Z$224,G$2,FALSE)</f>
        <v>-</v>
      </c>
      <c r="H118" s="583" t="str">
        <f>VLOOKUP($A118,'Pre-Assessment Estimator'!$A$10:$Z$224,H$2,FALSE)</f>
        <v>Unclassified</v>
      </c>
      <c r="I118" s="584" t="str">
        <f>IF(VLOOKUP($A118,'Pre-Assessment Estimator'!$A$10:$Z$224,I$2,FALSE)=0,"",VLOOKUP($A118,'Pre-Assessment Estimator'!$A$10:$Z$224,I$2,FALSE))</f>
        <v/>
      </c>
      <c r="J118" s="584" t="str">
        <f>IF(VLOOKUP($A118,'Pre-Assessment Estimator'!$A$10:$Z$224,J$2,FALSE)=0,"",VLOOKUP($A118,'Pre-Assessment Estimator'!$A$10:$Z$224,J$2,FALSE))</f>
        <v/>
      </c>
      <c r="K118" s="585" t="str">
        <f>IF(VLOOKUP($A118,'Pre-Assessment Estimator'!$A$10:$Z$224,K$2,FALSE)=0,"",VLOOKUP($A118,'Pre-Assessment Estimator'!$A$10:$Z$224,K$2,FALSE))</f>
        <v/>
      </c>
      <c r="L118" s="586"/>
      <c r="M118" s="587" t="str">
        <f>IF(VLOOKUP($A118,'Pre-Assessment Estimator'!$A$10:$Z$224,M$2,FALSE)=0,"",VLOOKUP($A118,'Pre-Assessment Estimator'!$A$10:$Z$224,M$2,FALSE))</f>
        <v/>
      </c>
      <c r="N118" s="582" t="str">
        <f>VLOOKUP($A118,'Pre-Assessment Estimator'!$A$10:$Z$224,N$2,FALSE)</f>
        <v>-</v>
      </c>
      <c r="O118" s="581" t="str">
        <f>VLOOKUP($A118,'Pre-Assessment Estimator'!$A$10:$Z$224,O$2,FALSE)</f>
        <v>Unclassified</v>
      </c>
      <c r="P118" s="584" t="str">
        <f>IF(VLOOKUP($A118,'Pre-Assessment Estimator'!$A$10:$Z$224,P$2,FALSE)=0,"",VLOOKUP($A118,'Pre-Assessment Estimator'!$A$10:$Z$224,P$2,FALSE))</f>
        <v/>
      </c>
      <c r="Q118" s="584" t="str">
        <f>IF(VLOOKUP($A118,'Pre-Assessment Estimator'!$A$10:$Z$224,Q$2,FALSE)=0,"",VLOOKUP($A118,'Pre-Assessment Estimator'!$A$10:$Z$224,Q$2,FALSE))</f>
        <v/>
      </c>
      <c r="R118" s="585" t="str">
        <f>IF(VLOOKUP($A118,'Pre-Assessment Estimator'!$A$10:$Z$224,R$2,FALSE)=0,"",VLOOKUP($A118,'Pre-Assessment Estimator'!$A$10:$Z$224,R$2,FALSE))</f>
        <v/>
      </c>
      <c r="S118" s="588"/>
      <c r="T118" s="587" t="str">
        <f>IF(VLOOKUP($A118,'Pre-Assessment Estimator'!$A$10:$Z$224,T$2,FALSE)=0,"",VLOOKUP($A118,'Pre-Assessment Estimator'!$A$10:$Z$224,T$2,FALSE))</f>
        <v/>
      </c>
      <c r="U118" s="582" t="str">
        <f>VLOOKUP($A118,'Pre-Assessment Estimator'!$A$10:$Z$224,U$2,FALSE)</f>
        <v>-</v>
      </c>
      <c r="V118" s="581" t="str">
        <f>VLOOKUP($A118,'Pre-Assessment Estimator'!$A$10:$Z$224,V$2,FALSE)</f>
        <v>Unclassified</v>
      </c>
      <c r="W118" s="584" t="str">
        <f>IF(VLOOKUP($A118,'Pre-Assessment Estimator'!$A$10:$Z$224,W$2,FALSE)=0,"",VLOOKUP($A118,'Pre-Assessment Estimator'!$A$10:$Z$224,W$2,FALSE))</f>
        <v/>
      </c>
      <c r="X118" s="584" t="str">
        <f>IF(VLOOKUP($A118,'Pre-Assessment Estimator'!$A$10:$Z$224,X$2,FALSE)=0,"",VLOOKUP($A118,'Pre-Assessment Estimator'!$A$10:$Z$224,X$2,FALSE))</f>
        <v/>
      </c>
      <c r="Y118" s="370" t="str">
        <f>IF(VLOOKUP($A118,'Pre-Assessment Estimator'!$A$10:$Z$224,Y$2,FALSE)=0,"",VLOOKUP($A118,'Pre-Assessment Estimator'!$A$10:$Z$224,Y$2,FALSE))</f>
        <v/>
      </c>
      <c r="Z118" s="705"/>
      <c r="AA118" s="584"/>
      <c r="AE118" s="386">
        <f t="shared" si="1"/>
        <v>1</v>
      </c>
      <c r="AF118" s="95" t="e">
        <f>VLOOKUP(J118,'Assessment Details'!$O$45:$P$48,2,FALSE)</f>
        <v>#N/A</v>
      </c>
      <c r="AG118" s="95" t="e">
        <f>VLOOKUP(Q118,'Assessment Details'!$O$45:$P$48,2,FALSE)</f>
        <v>#N/A</v>
      </c>
      <c r="AH118" s="95" t="e">
        <f>VLOOKUP(X118,'Assessment Details'!$O$45:$P$48,2,FALSE)</f>
        <v>#N/A</v>
      </c>
    </row>
    <row r="119" spans="1:34" x14ac:dyDescent="0.25">
      <c r="A119" s="836">
        <v>110</v>
      </c>
      <c r="B119" s="1262"/>
      <c r="C119" s="1262"/>
      <c r="D119" s="340" t="str">
        <f>VLOOKUP($A119,'Pre-Assessment Estimator'!$A$10:$Z$224,D$2,FALSE)</f>
        <v>Reduction of greenhouse gas emissions</v>
      </c>
      <c r="E119" s="581">
        <f>VLOOKUP($A119,'Pre-Assessment Estimator'!$A$10:$Z$224,E$2,FALSE)</f>
        <v>3</v>
      </c>
      <c r="F119" s="587" t="str">
        <f>IF(VLOOKUP($A119,'Pre-Assessment Estimator'!$A$10:$Z$224,F$2,FALSE)=0,"",VLOOKUP($A119,'Pre-Assessment Estimator'!$A$10:$Z$224,F$2,FALSE))</f>
        <v/>
      </c>
      <c r="G119" s="1239">
        <f>VLOOKUP($A119,'Pre-Assessment Estimator'!$A$10:$Z$224,G$2,FALSE)</f>
        <v>0</v>
      </c>
      <c r="H119" s="583" t="str">
        <f>VLOOKUP($A119,'Pre-Assessment Estimator'!$A$10:$Z$224,H$2,FALSE)</f>
        <v>Good</v>
      </c>
      <c r="I119" s="584" t="str">
        <f>IF(VLOOKUP($A119,'Pre-Assessment Estimator'!$A$10:$Z$224,I$2,FALSE)=0,"",VLOOKUP($A119,'Pre-Assessment Estimator'!$A$10:$Z$224,I$2,FALSE))</f>
        <v/>
      </c>
      <c r="J119" s="584" t="str">
        <f>IF(VLOOKUP($A119,'Pre-Assessment Estimator'!$A$10:$Z$224,J$2,FALSE)=0,"",VLOOKUP($A119,'Pre-Assessment Estimator'!$A$10:$Z$224,J$2,FALSE))</f>
        <v/>
      </c>
      <c r="K119" s="585" t="str">
        <f>IF(VLOOKUP($A119,'Pre-Assessment Estimator'!$A$10:$Z$224,K$2,FALSE)=0,"",VLOOKUP($A119,'Pre-Assessment Estimator'!$A$10:$Z$224,K$2,FALSE))</f>
        <v/>
      </c>
      <c r="L119" s="586"/>
      <c r="M119" s="587" t="str">
        <f>IF(VLOOKUP($A119,'Pre-Assessment Estimator'!$A$10:$Z$224,M$2,FALSE)=0,"",VLOOKUP($A119,'Pre-Assessment Estimator'!$A$10:$Z$224,M$2,FALSE))</f>
        <v/>
      </c>
      <c r="N119" s="582">
        <f>VLOOKUP($A119,'Pre-Assessment Estimator'!$A$10:$Z$224,N$2,FALSE)</f>
        <v>0</v>
      </c>
      <c r="O119" s="581" t="str">
        <f>VLOOKUP($A119,'Pre-Assessment Estimator'!$A$10:$Z$224,O$2,FALSE)</f>
        <v>Good</v>
      </c>
      <c r="P119" s="584" t="str">
        <f>IF(VLOOKUP($A119,'Pre-Assessment Estimator'!$A$10:$Z$224,P$2,FALSE)=0,"",VLOOKUP($A119,'Pre-Assessment Estimator'!$A$10:$Z$224,P$2,FALSE))</f>
        <v/>
      </c>
      <c r="Q119" s="584" t="str">
        <f>IF(VLOOKUP($A119,'Pre-Assessment Estimator'!$A$10:$Z$224,Q$2,FALSE)=0,"",VLOOKUP($A119,'Pre-Assessment Estimator'!$A$10:$Z$224,Q$2,FALSE))</f>
        <v/>
      </c>
      <c r="R119" s="585" t="str">
        <f>IF(VLOOKUP($A119,'Pre-Assessment Estimator'!$A$10:$Z$224,R$2,FALSE)=0,"",VLOOKUP($A119,'Pre-Assessment Estimator'!$A$10:$Z$224,R$2,FALSE))</f>
        <v/>
      </c>
      <c r="S119" s="588"/>
      <c r="T119" s="587" t="str">
        <f>IF(VLOOKUP($A119,'Pre-Assessment Estimator'!$A$10:$Z$224,T$2,FALSE)=0,"",VLOOKUP($A119,'Pre-Assessment Estimator'!$A$10:$Z$224,T$2,FALSE))</f>
        <v/>
      </c>
      <c r="U119" s="582">
        <f>VLOOKUP($A119,'Pre-Assessment Estimator'!$A$10:$Z$224,U$2,FALSE)</f>
        <v>0</v>
      </c>
      <c r="V119" s="581" t="str">
        <f>VLOOKUP($A119,'Pre-Assessment Estimator'!$A$10:$Z$224,V$2,FALSE)</f>
        <v>Good</v>
      </c>
      <c r="W119" s="584" t="str">
        <f>IF(VLOOKUP($A119,'Pre-Assessment Estimator'!$A$10:$Z$224,W$2,FALSE)=0,"",VLOOKUP($A119,'Pre-Assessment Estimator'!$A$10:$Z$224,W$2,FALSE))</f>
        <v/>
      </c>
      <c r="X119" s="584" t="str">
        <f>IF(VLOOKUP($A119,'Pre-Assessment Estimator'!$A$10:$Z$224,X$2,FALSE)=0,"",VLOOKUP($A119,'Pre-Assessment Estimator'!$A$10:$Z$224,X$2,FALSE))</f>
        <v/>
      </c>
      <c r="Y119" s="370" t="str">
        <f>IF(VLOOKUP($A119,'Pre-Assessment Estimator'!$A$10:$Z$224,Y$2,FALSE)=0,"",VLOOKUP($A119,'Pre-Assessment Estimator'!$A$10:$Z$224,Y$2,FALSE))</f>
        <v/>
      </c>
      <c r="Z119" s="705"/>
      <c r="AA119" s="584"/>
      <c r="AE119" s="386">
        <f t="shared" si="1"/>
        <v>1</v>
      </c>
      <c r="AF119" s="95" t="e">
        <f>VLOOKUP(J119,'Assessment Details'!$O$45:$P$48,2,FALSE)</f>
        <v>#N/A</v>
      </c>
      <c r="AG119" s="95" t="e">
        <f>VLOOKUP(Q119,'Assessment Details'!$O$45:$P$48,2,FALSE)</f>
        <v>#N/A</v>
      </c>
      <c r="AH119" s="95" t="e">
        <f>VLOOKUP(X119,'Assessment Details'!$O$45:$P$48,2,FALSE)</f>
        <v>#N/A</v>
      </c>
    </row>
    <row r="120" spans="1:34" x14ac:dyDescent="0.25">
      <c r="A120" s="836">
        <v>111</v>
      </c>
      <c r="B120" s="1262"/>
      <c r="C120" s="1262"/>
      <c r="D120" s="340" t="str">
        <f>VLOOKUP($A120,'Pre-Assessment Estimator'!$A$10:$Z$224,D$2,FALSE)</f>
        <v>Life cycle assessment of the building</v>
      </c>
      <c r="E120" s="581">
        <f>VLOOKUP($A120,'Pre-Assessment Estimator'!$A$10:$Z$224,E$2,FALSE)</f>
        <v>2</v>
      </c>
      <c r="F120" s="587" t="str">
        <f>IF(VLOOKUP($A120,'Pre-Assessment Estimator'!$A$10:$Z$224,F$2,FALSE)=0,"",VLOOKUP($A120,'Pre-Assessment Estimator'!$A$10:$Z$224,F$2,FALSE))</f>
        <v/>
      </c>
      <c r="G120" s="1239">
        <f>VLOOKUP($A120,'Pre-Assessment Estimator'!$A$10:$Z$224,G$2,FALSE)</f>
        <v>0</v>
      </c>
      <c r="H120" s="583" t="str">
        <f>VLOOKUP($A120,'Pre-Assessment Estimator'!$A$10:$Z$224,H$2,FALSE)</f>
        <v>N/A</v>
      </c>
      <c r="I120" s="584" t="str">
        <f>IF(VLOOKUP($A120,'Pre-Assessment Estimator'!$A$10:$Z$224,I$2,FALSE)=0,"",VLOOKUP($A120,'Pre-Assessment Estimator'!$A$10:$Z$224,I$2,FALSE))</f>
        <v/>
      </c>
      <c r="J120" s="584" t="str">
        <f>IF(VLOOKUP($A120,'Pre-Assessment Estimator'!$A$10:$Z$224,J$2,FALSE)=0,"",VLOOKUP($A120,'Pre-Assessment Estimator'!$A$10:$Z$224,J$2,FALSE))</f>
        <v/>
      </c>
      <c r="K120" s="585" t="str">
        <f>IF(VLOOKUP($A120,'Pre-Assessment Estimator'!$A$10:$Z$224,K$2,FALSE)=0,"",VLOOKUP($A120,'Pre-Assessment Estimator'!$A$10:$Z$224,K$2,FALSE))</f>
        <v/>
      </c>
      <c r="L120" s="586"/>
      <c r="M120" s="587" t="str">
        <f>IF(VLOOKUP($A120,'Pre-Assessment Estimator'!$A$10:$Z$224,M$2,FALSE)=0,"",VLOOKUP($A120,'Pre-Assessment Estimator'!$A$10:$Z$224,M$2,FALSE))</f>
        <v/>
      </c>
      <c r="N120" s="582">
        <f>VLOOKUP($A120,'Pre-Assessment Estimator'!$A$10:$Z$224,N$2,FALSE)</f>
        <v>0</v>
      </c>
      <c r="O120" s="581" t="str">
        <f>VLOOKUP($A120,'Pre-Assessment Estimator'!$A$10:$Z$224,O$2,FALSE)</f>
        <v>N/A</v>
      </c>
      <c r="P120" s="584" t="str">
        <f>IF(VLOOKUP($A120,'Pre-Assessment Estimator'!$A$10:$Z$224,P$2,FALSE)=0,"",VLOOKUP($A120,'Pre-Assessment Estimator'!$A$10:$Z$224,P$2,FALSE))</f>
        <v/>
      </c>
      <c r="Q120" s="584" t="str">
        <f>IF(VLOOKUP($A120,'Pre-Assessment Estimator'!$A$10:$Z$224,Q$2,FALSE)=0,"",VLOOKUP($A120,'Pre-Assessment Estimator'!$A$10:$Z$224,Q$2,FALSE))</f>
        <v/>
      </c>
      <c r="R120" s="585" t="str">
        <f>IF(VLOOKUP($A120,'Pre-Assessment Estimator'!$A$10:$Z$224,R$2,FALSE)=0,"",VLOOKUP($A120,'Pre-Assessment Estimator'!$A$10:$Z$224,R$2,FALSE))</f>
        <v/>
      </c>
      <c r="S120" s="588"/>
      <c r="T120" s="587" t="str">
        <f>IF(VLOOKUP($A120,'Pre-Assessment Estimator'!$A$10:$Z$224,T$2,FALSE)=0,"",VLOOKUP($A120,'Pre-Assessment Estimator'!$A$10:$Z$224,T$2,FALSE))</f>
        <v/>
      </c>
      <c r="U120" s="582">
        <f>VLOOKUP($A120,'Pre-Assessment Estimator'!$A$10:$Z$224,U$2,FALSE)</f>
        <v>0</v>
      </c>
      <c r="V120" s="581" t="str">
        <f>VLOOKUP($A120,'Pre-Assessment Estimator'!$A$10:$Z$224,V$2,FALSE)</f>
        <v>N/A</v>
      </c>
      <c r="W120" s="584" t="str">
        <f>IF(VLOOKUP($A120,'Pre-Assessment Estimator'!$A$10:$Z$224,W$2,FALSE)=0,"",VLOOKUP($A120,'Pre-Assessment Estimator'!$A$10:$Z$224,W$2,FALSE))</f>
        <v/>
      </c>
      <c r="X120" s="584" t="str">
        <f>IF(VLOOKUP($A120,'Pre-Assessment Estimator'!$A$10:$Z$224,X$2,FALSE)=0,"",VLOOKUP($A120,'Pre-Assessment Estimator'!$A$10:$Z$224,X$2,FALSE))</f>
        <v/>
      </c>
      <c r="Y120" s="370" t="str">
        <f>IF(VLOOKUP($A120,'Pre-Assessment Estimator'!$A$10:$Z$224,Y$2,FALSE)=0,"",VLOOKUP($A120,'Pre-Assessment Estimator'!$A$10:$Z$224,Y$2,FALSE))</f>
        <v/>
      </c>
      <c r="Z120" s="705"/>
      <c r="AA120" s="584"/>
      <c r="AE120" s="386">
        <f t="shared" si="1"/>
        <v>1</v>
      </c>
      <c r="AF120" s="95" t="e">
        <f>VLOOKUP(J120,'Assessment Details'!$O$45:$P$48,2,FALSE)</f>
        <v>#N/A</v>
      </c>
      <c r="AG120" s="95" t="e">
        <f>VLOOKUP(Q120,'Assessment Details'!$O$45:$P$48,2,FALSE)</f>
        <v>#N/A</v>
      </c>
      <c r="AH120" s="95" t="e">
        <f>VLOOKUP(X120,'Assessment Details'!$O$45:$P$48,2,FALSE)</f>
        <v>#N/A</v>
      </c>
    </row>
    <row r="121" spans="1:34" ht="30" x14ac:dyDescent="0.25">
      <c r="A121" s="836">
        <v>112</v>
      </c>
      <c r="B121" s="1262"/>
      <c r="C121" s="1262"/>
      <c r="D121" s="993" t="str">
        <f>VLOOKUP($A121,'Pre-Assessment Estimator'!$A$10:$Z$224,D$2,FALSE)</f>
        <v>Mat 02 Environmental impacts from construction products - product requirements</v>
      </c>
      <c r="E121" s="581">
        <f>VLOOKUP($A121,'Pre-Assessment Estimator'!$A$10:$Z$224,E$2,FALSE)</f>
        <v>3</v>
      </c>
      <c r="F121" s="587" t="str">
        <f>IF(VLOOKUP($A121,'Pre-Assessment Estimator'!$A$10:$Z$224,F$2,FALSE)=0,"",VLOOKUP($A121,'Pre-Assessment Estimator'!$A$10:$Z$224,F$2,FALSE))</f>
        <v/>
      </c>
      <c r="G121" s="1239" t="str">
        <f>VLOOKUP($A121,'Pre-Assessment Estimator'!$A$10:$Z$224,G$2,FALSE)</f>
        <v>0 c. 0 %</v>
      </c>
      <c r="H121" s="583" t="str">
        <f>VLOOKUP($A121,'Pre-Assessment Estimator'!$A$10:$Z$224,H$2,FALSE)</f>
        <v>N/A</v>
      </c>
      <c r="I121" s="584" t="str">
        <f>IF(VLOOKUP($A121,'Pre-Assessment Estimator'!$A$10:$Z$224,I$2,FALSE)=0,"",VLOOKUP($A121,'Pre-Assessment Estimator'!$A$10:$Z$224,I$2,FALSE))</f>
        <v/>
      </c>
      <c r="J121" s="584" t="str">
        <f>IF(VLOOKUP($A121,'Pre-Assessment Estimator'!$A$10:$Z$224,J$2,FALSE)=0,"",VLOOKUP($A121,'Pre-Assessment Estimator'!$A$10:$Z$224,J$2,FALSE))</f>
        <v/>
      </c>
      <c r="K121" s="585" t="str">
        <f>IF(VLOOKUP($A121,'Pre-Assessment Estimator'!$A$10:$Z$224,K$2,FALSE)=0,"",VLOOKUP($A121,'Pre-Assessment Estimator'!$A$10:$Z$224,K$2,FALSE))</f>
        <v/>
      </c>
      <c r="L121" s="586"/>
      <c r="M121" s="587" t="str">
        <f>IF(VLOOKUP($A121,'Pre-Assessment Estimator'!$A$10:$Z$224,M$2,FALSE)=0,"",VLOOKUP($A121,'Pre-Assessment Estimator'!$A$10:$Z$224,M$2,FALSE))</f>
        <v/>
      </c>
      <c r="N121" s="582" t="str">
        <f>VLOOKUP($A121,'Pre-Assessment Estimator'!$A$10:$Z$224,N$2,FALSE)</f>
        <v>0 c. 0 %</v>
      </c>
      <c r="O121" s="581" t="str">
        <f>VLOOKUP($A121,'Pre-Assessment Estimator'!$A$10:$Z$224,O$2,FALSE)</f>
        <v>N/A</v>
      </c>
      <c r="P121" s="584" t="str">
        <f>IF(VLOOKUP($A121,'Pre-Assessment Estimator'!$A$10:$Z$224,P$2,FALSE)=0,"",VLOOKUP($A121,'Pre-Assessment Estimator'!$A$10:$Z$224,P$2,FALSE))</f>
        <v/>
      </c>
      <c r="Q121" s="584" t="str">
        <f>IF(VLOOKUP($A121,'Pre-Assessment Estimator'!$A$10:$Z$224,Q$2,FALSE)=0,"",VLOOKUP($A121,'Pre-Assessment Estimator'!$A$10:$Z$224,Q$2,FALSE))</f>
        <v/>
      </c>
      <c r="R121" s="585" t="str">
        <f>IF(VLOOKUP($A121,'Pre-Assessment Estimator'!$A$10:$Z$224,R$2,FALSE)=0,"",VLOOKUP($A121,'Pre-Assessment Estimator'!$A$10:$Z$224,R$2,FALSE))</f>
        <v/>
      </c>
      <c r="S121" s="588"/>
      <c r="T121" s="587" t="str">
        <f>IF(VLOOKUP($A121,'Pre-Assessment Estimator'!$A$10:$Z$224,T$2,FALSE)=0,"",VLOOKUP($A121,'Pre-Assessment Estimator'!$A$10:$Z$224,T$2,FALSE))</f>
        <v/>
      </c>
      <c r="U121" s="582" t="str">
        <f>VLOOKUP($A121,'Pre-Assessment Estimator'!$A$10:$Z$224,U$2,FALSE)</f>
        <v>0 c. 0 %</v>
      </c>
      <c r="V121" s="581" t="str">
        <f>VLOOKUP($A121,'Pre-Assessment Estimator'!$A$10:$Z$224,V$2,FALSE)</f>
        <v>N/A</v>
      </c>
      <c r="W121" s="584" t="str">
        <f>IF(VLOOKUP($A121,'Pre-Assessment Estimator'!$A$10:$Z$224,W$2,FALSE)=0,"",VLOOKUP($A121,'Pre-Assessment Estimator'!$A$10:$Z$224,W$2,FALSE))</f>
        <v/>
      </c>
      <c r="X121" s="584" t="str">
        <f>IF(VLOOKUP($A121,'Pre-Assessment Estimator'!$A$10:$Z$224,X$2,FALSE)=0,"",VLOOKUP($A121,'Pre-Assessment Estimator'!$A$10:$Z$224,X$2,FALSE))</f>
        <v/>
      </c>
      <c r="Y121" s="370" t="str">
        <f>IF(VLOOKUP($A121,'Pre-Assessment Estimator'!$A$10:$Z$224,Y$2,FALSE)=0,"",VLOOKUP($A121,'Pre-Assessment Estimator'!$A$10:$Z$224,Y$2,FALSE))</f>
        <v/>
      </c>
      <c r="Z121" s="705"/>
      <c r="AA121" s="584"/>
      <c r="AE121" s="386">
        <f t="shared" si="1"/>
        <v>1</v>
      </c>
      <c r="AF121" s="95" t="e">
        <f>VLOOKUP(J121,'Assessment Details'!$O$45:$P$48,2,FALSE)</f>
        <v>#N/A</v>
      </c>
      <c r="AG121" s="95" t="e">
        <f>VLOOKUP(Q121,'Assessment Details'!$O$45:$P$48,2,FALSE)</f>
        <v>#N/A</v>
      </c>
      <c r="AH121" s="95" t="e">
        <f>VLOOKUP(X121,'Assessment Details'!$O$45:$P$48,2,FALSE)</f>
        <v>#N/A</v>
      </c>
    </row>
    <row r="122" spans="1:34" x14ac:dyDescent="0.25">
      <c r="A122" s="836">
        <v>113</v>
      </c>
      <c r="B122" s="1262"/>
      <c r="C122" s="1262"/>
      <c r="D122" s="340" t="str">
        <f>VLOOKUP($A122,'Pre-Assessment Estimator'!$A$10:$Z$224,D$2,FALSE)</f>
        <v>Minimum req: absence of environmental toxins</v>
      </c>
      <c r="E122" s="581" t="str">
        <f>VLOOKUP($A122,'Pre-Assessment Estimator'!$A$10:$Z$224,E$2,FALSE)</f>
        <v>Yes/No</v>
      </c>
      <c r="F122" s="587" t="str">
        <f>IF(VLOOKUP($A122,'Pre-Assessment Estimator'!$A$10:$Z$224,F$2,FALSE)=0,"",VLOOKUP($A122,'Pre-Assessment Estimator'!$A$10:$Z$224,F$2,FALSE))</f>
        <v/>
      </c>
      <c r="G122" s="1239" t="str">
        <f>VLOOKUP($A122,'Pre-Assessment Estimator'!$A$10:$Z$224,G$2,FALSE)</f>
        <v>-</v>
      </c>
      <c r="H122" s="583" t="str">
        <f>VLOOKUP($A122,'Pre-Assessment Estimator'!$A$10:$Z$224,H$2,FALSE)</f>
        <v>Unclassified</v>
      </c>
      <c r="I122" s="584" t="str">
        <f>IF(VLOOKUP($A122,'Pre-Assessment Estimator'!$A$10:$Z$224,I$2,FALSE)=0,"",VLOOKUP($A122,'Pre-Assessment Estimator'!$A$10:$Z$224,I$2,FALSE))</f>
        <v/>
      </c>
      <c r="J122" s="584" t="str">
        <f>IF(VLOOKUP($A122,'Pre-Assessment Estimator'!$A$10:$Z$224,J$2,FALSE)=0,"",VLOOKUP($A122,'Pre-Assessment Estimator'!$A$10:$Z$224,J$2,FALSE))</f>
        <v/>
      </c>
      <c r="K122" s="585" t="str">
        <f>IF(VLOOKUP($A122,'Pre-Assessment Estimator'!$A$10:$Z$224,K$2,FALSE)=0,"",VLOOKUP($A122,'Pre-Assessment Estimator'!$A$10:$Z$224,K$2,FALSE))</f>
        <v/>
      </c>
      <c r="L122" s="586"/>
      <c r="M122" s="587" t="str">
        <f>IF(VLOOKUP($A122,'Pre-Assessment Estimator'!$A$10:$Z$224,M$2,FALSE)=0,"",VLOOKUP($A122,'Pre-Assessment Estimator'!$A$10:$Z$224,M$2,FALSE))</f>
        <v/>
      </c>
      <c r="N122" s="582" t="str">
        <f>VLOOKUP($A122,'Pre-Assessment Estimator'!$A$10:$Z$224,N$2,FALSE)</f>
        <v>-</v>
      </c>
      <c r="O122" s="581" t="str">
        <f>VLOOKUP($A122,'Pre-Assessment Estimator'!$A$10:$Z$224,O$2,FALSE)</f>
        <v>Unclassified</v>
      </c>
      <c r="P122" s="584" t="str">
        <f>IF(VLOOKUP($A122,'Pre-Assessment Estimator'!$A$10:$Z$224,P$2,FALSE)=0,"",VLOOKUP($A122,'Pre-Assessment Estimator'!$A$10:$Z$224,P$2,FALSE))</f>
        <v/>
      </c>
      <c r="Q122" s="584" t="str">
        <f>IF(VLOOKUP($A122,'Pre-Assessment Estimator'!$A$10:$Z$224,Q$2,FALSE)=0,"",VLOOKUP($A122,'Pre-Assessment Estimator'!$A$10:$Z$224,Q$2,FALSE))</f>
        <v/>
      </c>
      <c r="R122" s="585" t="str">
        <f>IF(VLOOKUP($A122,'Pre-Assessment Estimator'!$A$10:$Z$224,R$2,FALSE)=0,"",VLOOKUP($A122,'Pre-Assessment Estimator'!$A$10:$Z$224,R$2,FALSE))</f>
        <v/>
      </c>
      <c r="S122" s="588"/>
      <c r="T122" s="587" t="str">
        <f>IF(VLOOKUP($A122,'Pre-Assessment Estimator'!$A$10:$Z$224,T$2,FALSE)=0,"",VLOOKUP($A122,'Pre-Assessment Estimator'!$A$10:$Z$224,T$2,FALSE))</f>
        <v/>
      </c>
      <c r="U122" s="582" t="str">
        <f>VLOOKUP($A122,'Pre-Assessment Estimator'!$A$10:$Z$224,U$2,FALSE)</f>
        <v>-</v>
      </c>
      <c r="V122" s="581" t="str">
        <f>VLOOKUP($A122,'Pre-Assessment Estimator'!$A$10:$Z$224,V$2,FALSE)</f>
        <v>Unclassified</v>
      </c>
      <c r="W122" s="584" t="str">
        <f>IF(VLOOKUP($A122,'Pre-Assessment Estimator'!$A$10:$Z$224,W$2,FALSE)=0,"",VLOOKUP($A122,'Pre-Assessment Estimator'!$A$10:$Z$224,W$2,FALSE))</f>
        <v/>
      </c>
      <c r="X122" s="584" t="str">
        <f>IF(VLOOKUP($A122,'Pre-Assessment Estimator'!$A$10:$Z$224,X$2,FALSE)=0,"",VLOOKUP($A122,'Pre-Assessment Estimator'!$A$10:$Z$224,X$2,FALSE))</f>
        <v/>
      </c>
      <c r="Y122" s="370" t="str">
        <f>IF(VLOOKUP($A122,'Pre-Assessment Estimator'!$A$10:$Z$224,Y$2,FALSE)=0,"",VLOOKUP($A122,'Pre-Assessment Estimator'!$A$10:$Z$224,Y$2,FALSE))</f>
        <v/>
      </c>
      <c r="Z122" s="705"/>
      <c r="AA122" s="584"/>
      <c r="AE122" s="386">
        <f t="shared" si="1"/>
        <v>1</v>
      </c>
      <c r="AF122" s="95" t="e">
        <f>VLOOKUP(J122,'Assessment Details'!$O$45:$P$48,2,FALSE)</f>
        <v>#N/A</v>
      </c>
      <c r="AG122" s="95" t="e">
        <f>VLOOKUP(Q122,'Assessment Details'!$O$45:$P$48,2,FALSE)</f>
        <v>#N/A</v>
      </c>
      <c r="AH122" s="95" t="e">
        <f>VLOOKUP(X122,'Assessment Details'!$O$45:$P$48,2,FALSE)</f>
        <v>#N/A</v>
      </c>
    </row>
    <row r="123" spans="1:34" x14ac:dyDescent="0.25">
      <c r="A123" s="836">
        <v>114</v>
      </c>
      <c r="B123" s="1262"/>
      <c r="C123" s="1262"/>
      <c r="D123" s="340" t="str">
        <f>VLOOKUP($A123,'Pre-Assessment Estimator'!$A$10:$Z$224,D$2,FALSE)</f>
        <v xml:space="preserve">EPD for construction products </v>
      </c>
      <c r="E123" s="581">
        <f>VLOOKUP($A123,'Pre-Assessment Estimator'!$A$10:$Z$224,E$2,FALSE)</f>
        <v>1</v>
      </c>
      <c r="F123" s="587" t="str">
        <f>IF(VLOOKUP($A123,'Pre-Assessment Estimator'!$A$10:$Z$224,F$2,FALSE)=0,"",VLOOKUP($A123,'Pre-Assessment Estimator'!$A$10:$Z$224,F$2,FALSE))</f>
        <v/>
      </c>
      <c r="G123" s="1239">
        <f>VLOOKUP($A123,'Pre-Assessment Estimator'!$A$10:$Z$224,G$2,FALSE)</f>
        <v>0</v>
      </c>
      <c r="H123" s="583" t="str">
        <f>VLOOKUP($A123,'Pre-Assessment Estimator'!$A$10:$Z$224,H$2,FALSE)</f>
        <v>N/A</v>
      </c>
      <c r="I123" s="584" t="str">
        <f>IF(VLOOKUP($A123,'Pre-Assessment Estimator'!$A$10:$Z$224,I$2,FALSE)=0,"",VLOOKUP($A123,'Pre-Assessment Estimator'!$A$10:$Z$224,I$2,FALSE))</f>
        <v/>
      </c>
      <c r="J123" s="584" t="str">
        <f>IF(VLOOKUP($A123,'Pre-Assessment Estimator'!$A$10:$Z$224,J$2,FALSE)=0,"",VLOOKUP($A123,'Pre-Assessment Estimator'!$A$10:$Z$224,J$2,FALSE))</f>
        <v/>
      </c>
      <c r="K123" s="585" t="str">
        <f>IF(VLOOKUP($A123,'Pre-Assessment Estimator'!$A$10:$Z$224,K$2,FALSE)=0,"",VLOOKUP($A123,'Pre-Assessment Estimator'!$A$10:$Z$224,K$2,FALSE))</f>
        <v/>
      </c>
      <c r="L123" s="586"/>
      <c r="M123" s="587" t="str">
        <f>IF(VLOOKUP($A123,'Pre-Assessment Estimator'!$A$10:$Z$224,M$2,FALSE)=0,"",VLOOKUP($A123,'Pre-Assessment Estimator'!$A$10:$Z$224,M$2,FALSE))</f>
        <v/>
      </c>
      <c r="N123" s="582">
        <f>VLOOKUP($A123,'Pre-Assessment Estimator'!$A$10:$Z$224,N$2,FALSE)</f>
        <v>0</v>
      </c>
      <c r="O123" s="581" t="str">
        <f>VLOOKUP($A123,'Pre-Assessment Estimator'!$A$10:$Z$224,O$2,FALSE)</f>
        <v>N/A</v>
      </c>
      <c r="P123" s="584" t="str">
        <f>IF(VLOOKUP($A123,'Pre-Assessment Estimator'!$A$10:$Z$224,P$2,FALSE)=0,"",VLOOKUP($A123,'Pre-Assessment Estimator'!$A$10:$Z$224,P$2,FALSE))</f>
        <v/>
      </c>
      <c r="Q123" s="584" t="str">
        <f>IF(VLOOKUP($A123,'Pre-Assessment Estimator'!$A$10:$Z$224,Q$2,FALSE)=0,"",VLOOKUP($A123,'Pre-Assessment Estimator'!$A$10:$Z$224,Q$2,FALSE))</f>
        <v/>
      </c>
      <c r="R123" s="585" t="str">
        <f>IF(VLOOKUP($A123,'Pre-Assessment Estimator'!$A$10:$Z$224,R$2,FALSE)=0,"",VLOOKUP($A123,'Pre-Assessment Estimator'!$A$10:$Z$224,R$2,FALSE))</f>
        <v/>
      </c>
      <c r="S123" s="588"/>
      <c r="T123" s="587" t="str">
        <f>IF(VLOOKUP($A123,'Pre-Assessment Estimator'!$A$10:$Z$224,T$2,FALSE)=0,"",VLOOKUP($A123,'Pre-Assessment Estimator'!$A$10:$Z$224,T$2,FALSE))</f>
        <v/>
      </c>
      <c r="U123" s="582">
        <f>VLOOKUP($A123,'Pre-Assessment Estimator'!$A$10:$Z$224,U$2,FALSE)</f>
        <v>0</v>
      </c>
      <c r="V123" s="581" t="str">
        <f>VLOOKUP($A123,'Pre-Assessment Estimator'!$A$10:$Z$224,V$2,FALSE)</f>
        <v>N/A</v>
      </c>
      <c r="W123" s="584" t="str">
        <f>IF(VLOOKUP($A123,'Pre-Assessment Estimator'!$A$10:$Z$224,W$2,FALSE)=0,"",VLOOKUP($A123,'Pre-Assessment Estimator'!$A$10:$Z$224,W$2,FALSE))</f>
        <v/>
      </c>
      <c r="X123" s="584" t="str">
        <f>IF(VLOOKUP($A123,'Pre-Assessment Estimator'!$A$10:$Z$224,X$2,FALSE)=0,"",VLOOKUP($A123,'Pre-Assessment Estimator'!$A$10:$Z$224,X$2,FALSE))</f>
        <v/>
      </c>
      <c r="Y123" s="370" t="str">
        <f>IF(VLOOKUP($A123,'Pre-Assessment Estimator'!$A$10:$Z$224,Y$2,FALSE)=0,"",VLOOKUP($A123,'Pre-Assessment Estimator'!$A$10:$Z$224,Y$2,FALSE))</f>
        <v/>
      </c>
      <c r="Z123" s="705"/>
      <c r="AA123" s="584"/>
      <c r="AE123" s="386">
        <f t="shared" si="1"/>
        <v>1</v>
      </c>
      <c r="AF123" s="95" t="e">
        <f>VLOOKUP(J123,'Assessment Details'!$O$45:$P$48,2,FALSE)</f>
        <v>#N/A</v>
      </c>
      <c r="AG123" s="95" t="e">
        <f>VLOOKUP(Q123,'Assessment Details'!$O$45:$P$48,2,FALSE)</f>
        <v>#N/A</v>
      </c>
      <c r="AH123" s="95" t="e">
        <f>VLOOKUP(X123,'Assessment Details'!$O$45:$P$48,2,FALSE)</f>
        <v>#N/A</v>
      </c>
    </row>
    <row r="124" spans="1:34" x14ac:dyDescent="0.25">
      <c r="A124" s="836">
        <v>115</v>
      </c>
      <c r="B124" s="1262"/>
      <c r="C124" s="1262"/>
      <c r="D124" s="340" t="str">
        <f>VLOOKUP($A124,'Pre-Assessment Estimator'!$A$10:$Z$224,D$2,FALSE)</f>
        <v xml:space="preserve">Performance requirements for construction products </v>
      </c>
      <c r="E124" s="581">
        <f>VLOOKUP($A124,'Pre-Assessment Estimator'!$A$10:$Z$224,E$2,FALSE)</f>
        <v>2</v>
      </c>
      <c r="F124" s="587" t="str">
        <f>IF(VLOOKUP($A124,'Pre-Assessment Estimator'!$A$10:$Z$224,F$2,FALSE)=0,"",VLOOKUP($A124,'Pre-Assessment Estimator'!$A$10:$Z$224,F$2,FALSE))</f>
        <v/>
      </c>
      <c r="G124" s="1239">
        <f>VLOOKUP($A124,'Pre-Assessment Estimator'!$A$10:$Z$224,G$2,FALSE)</f>
        <v>0</v>
      </c>
      <c r="H124" s="583" t="str">
        <f>VLOOKUP($A124,'Pre-Assessment Estimator'!$A$10:$Z$224,H$2,FALSE)</f>
        <v>N/A</v>
      </c>
      <c r="I124" s="584" t="str">
        <f>IF(VLOOKUP($A124,'Pre-Assessment Estimator'!$A$10:$Z$224,I$2,FALSE)=0,"",VLOOKUP($A124,'Pre-Assessment Estimator'!$A$10:$Z$224,I$2,FALSE))</f>
        <v/>
      </c>
      <c r="J124" s="584" t="str">
        <f>IF(VLOOKUP($A124,'Pre-Assessment Estimator'!$A$10:$Z$224,J$2,FALSE)=0,"",VLOOKUP($A124,'Pre-Assessment Estimator'!$A$10:$Z$224,J$2,FALSE))</f>
        <v/>
      </c>
      <c r="K124" s="585" t="str">
        <f>IF(VLOOKUP($A124,'Pre-Assessment Estimator'!$A$10:$Z$224,K$2,FALSE)=0,"",VLOOKUP($A124,'Pre-Assessment Estimator'!$A$10:$Z$224,K$2,FALSE))</f>
        <v/>
      </c>
      <c r="L124" s="586"/>
      <c r="M124" s="587" t="str">
        <f>IF(VLOOKUP($A124,'Pre-Assessment Estimator'!$A$10:$Z$224,M$2,FALSE)=0,"",VLOOKUP($A124,'Pre-Assessment Estimator'!$A$10:$Z$224,M$2,FALSE))</f>
        <v/>
      </c>
      <c r="N124" s="582">
        <f>VLOOKUP($A124,'Pre-Assessment Estimator'!$A$10:$Z$224,N$2,FALSE)</f>
        <v>0</v>
      </c>
      <c r="O124" s="581" t="str">
        <f>VLOOKUP($A124,'Pre-Assessment Estimator'!$A$10:$Z$224,O$2,FALSE)</f>
        <v>N/A</v>
      </c>
      <c r="P124" s="584" t="str">
        <f>IF(VLOOKUP($A124,'Pre-Assessment Estimator'!$A$10:$Z$224,P$2,FALSE)=0,"",VLOOKUP($A124,'Pre-Assessment Estimator'!$A$10:$Z$224,P$2,FALSE))</f>
        <v/>
      </c>
      <c r="Q124" s="584" t="str">
        <f>IF(VLOOKUP($A124,'Pre-Assessment Estimator'!$A$10:$Z$224,Q$2,FALSE)=0,"",VLOOKUP($A124,'Pre-Assessment Estimator'!$A$10:$Z$224,Q$2,FALSE))</f>
        <v/>
      </c>
      <c r="R124" s="585" t="str">
        <f>IF(VLOOKUP($A124,'Pre-Assessment Estimator'!$A$10:$Z$224,R$2,FALSE)=0,"",VLOOKUP($A124,'Pre-Assessment Estimator'!$A$10:$Z$224,R$2,FALSE))</f>
        <v/>
      </c>
      <c r="S124" s="588"/>
      <c r="T124" s="587" t="str">
        <f>IF(VLOOKUP($A124,'Pre-Assessment Estimator'!$A$10:$Z$224,T$2,FALSE)=0,"",VLOOKUP($A124,'Pre-Assessment Estimator'!$A$10:$Z$224,T$2,FALSE))</f>
        <v/>
      </c>
      <c r="U124" s="582">
        <f>VLOOKUP($A124,'Pre-Assessment Estimator'!$A$10:$Z$224,U$2,FALSE)</f>
        <v>0</v>
      </c>
      <c r="V124" s="581" t="str">
        <f>VLOOKUP($A124,'Pre-Assessment Estimator'!$A$10:$Z$224,V$2,FALSE)</f>
        <v>N/A</v>
      </c>
      <c r="W124" s="584" t="str">
        <f>IF(VLOOKUP($A124,'Pre-Assessment Estimator'!$A$10:$Z$224,W$2,FALSE)=0,"",VLOOKUP($A124,'Pre-Assessment Estimator'!$A$10:$Z$224,W$2,FALSE))</f>
        <v/>
      </c>
      <c r="X124" s="584" t="str">
        <f>IF(VLOOKUP($A124,'Pre-Assessment Estimator'!$A$10:$Z$224,X$2,FALSE)=0,"",VLOOKUP($A124,'Pre-Assessment Estimator'!$A$10:$Z$224,X$2,FALSE))</f>
        <v/>
      </c>
      <c r="Y124" s="370" t="str">
        <f>IF(VLOOKUP($A124,'Pre-Assessment Estimator'!$A$10:$Z$224,Y$2,FALSE)=0,"",VLOOKUP($A124,'Pre-Assessment Estimator'!$A$10:$Z$224,Y$2,FALSE))</f>
        <v/>
      </c>
      <c r="Z124" s="705"/>
      <c r="AA124" s="584"/>
      <c r="AE124" s="386">
        <f t="shared" si="1"/>
        <v>1</v>
      </c>
      <c r="AF124" s="95" t="e">
        <f>VLOOKUP(J124,'Assessment Details'!$O$45:$P$48,2,FALSE)</f>
        <v>#N/A</v>
      </c>
      <c r="AG124" s="95" t="e">
        <f>VLOOKUP(Q124,'Assessment Details'!$O$45:$P$48,2,FALSE)</f>
        <v>#N/A</v>
      </c>
      <c r="AH124" s="95" t="e">
        <f>VLOOKUP(X124,'Assessment Details'!$O$45:$P$48,2,FALSE)</f>
        <v>#N/A</v>
      </c>
    </row>
    <row r="125" spans="1:34" x14ac:dyDescent="0.25">
      <c r="A125" s="836">
        <v>116</v>
      </c>
      <c r="B125" s="1262"/>
      <c r="C125" s="1262"/>
      <c r="D125" s="993" t="str">
        <f>VLOOKUP($A125,'Pre-Assessment Estimator'!$A$10:$Z$224,D$2,FALSE)</f>
        <v>Mat 03 Responsible sourcing of construction products</v>
      </c>
      <c r="E125" s="581">
        <f>VLOOKUP($A125,'Pre-Assessment Estimator'!$A$10:$Z$224,E$2,FALSE)</f>
        <v>3</v>
      </c>
      <c r="F125" s="587" t="str">
        <f>IF(VLOOKUP($A125,'Pre-Assessment Estimator'!$A$10:$Z$224,F$2,FALSE)=0,"",VLOOKUP($A125,'Pre-Assessment Estimator'!$A$10:$Z$224,F$2,FALSE))</f>
        <v/>
      </c>
      <c r="G125" s="1239" t="str">
        <f>VLOOKUP($A125,'Pre-Assessment Estimator'!$A$10:$Z$224,G$2,FALSE)</f>
        <v>0 c. 0 %</v>
      </c>
      <c r="H125" s="583" t="str">
        <f>VLOOKUP($A125,'Pre-Assessment Estimator'!$A$10:$Z$224,H$2,FALSE)</f>
        <v>N/A</v>
      </c>
      <c r="I125" s="584" t="str">
        <f>IF(VLOOKUP($A125,'Pre-Assessment Estimator'!$A$10:$Z$224,I$2,FALSE)=0,"",VLOOKUP($A125,'Pre-Assessment Estimator'!$A$10:$Z$224,I$2,FALSE))</f>
        <v/>
      </c>
      <c r="J125" s="584" t="str">
        <f>IF(VLOOKUP($A125,'Pre-Assessment Estimator'!$A$10:$Z$224,J$2,FALSE)=0,"",VLOOKUP($A125,'Pre-Assessment Estimator'!$A$10:$Z$224,J$2,FALSE))</f>
        <v/>
      </c>
      <c r="K125" s="585" t="str">
        <f>IF(VLOOKUP($A125,'Pre-Assessment Estimator'!$A$10:$Z$224,K$2,FALSE)=0,"",VLOOKUP($A125,'Pre-Assessment Estimator'!$A$10:$Z$224,K$2,FALSE))</f>
        <v/>
      </c>
      <c r="L125" s="586"/>
      <c r="M125" s="587" t="str">
        <f>IF(VLOOKUP($A125,'Pre-Assessment Estimator'!$A$10:$Z$224,M$2,FALSE)=0,"",VLOOKUP($A125,'Pre-Assessment Estimator'!$A$10:$Z$224,M$2,FALSE))</f>
        <v/>
      </c>
      <c r="N125" s="582" t="str">
        <f>VLOOKUP($A125,'Pre-Assessment Estimator'!$A$10:$Z$224,N$2,FALSE)</f>
        <v>0 c. 0 %</v>
      </c>
      <c r="O125" s="581" t="str">
        <f>VLOOKUP($A125,'Pre-Assessment Estimator'!$A$10:$Z$224,O$2,FALSE)</f>
        <v>N/A</v>
      </c>
      <c r="P125" s="584" t="str">
        <f>IF(VLOOKUP($A125,'Pre-Assessment Estimator'!$A$10:$Z$224,P$2,FALSE)=0,"",VLOOKUP($A125,'Pre-Assessment Estimator'!$A$10:$Z$224,P$2,FALSE))</f>
        <v/>
      </c>
      <c r="Q125" s="584" t="str">
        <f>IF(VLOOKUP($A125,'Pre-Assessment Estimator'!$A$10:$Z$224,Q$2,FALSE)=0,"",VLOOKUP($A125,'Pre-Assessment Estimator'!$A$10:$Z$224,Q$2,FALSE))</f>
        <v/>
      </c>
      <c r="R125" s="585" t="str">
        <f>IF(VLOOKUP($A125,'Pre-Assessment Estimator'!$A$10:$Z$224,R$2,FALSE)=0,"",VLOOKUP($A125,'Pre-Assessment Estimator'!$A$10:$Z$224,R$2,FALSE))</f>
        <v/>
      </c>
      <c r="S125" s="588"/>
      <c r="T125" s="587" t="str">
        <f>IF(VLOOKUP($A125,'Pre-Assessment Estimator'!$A$10:$Z$224,T$2,FALSE)=0,"",VLOOKUP($A125,'Pre-Assessment Estimator'!$A$10:$Z$224,T$2,FALSE))</f>
        <v/>
      </c>
      <c r="U125" s="582" t="str">
        <f>VLOOKUP($A125,'Pre-Assessment Estimator'!$A$10:$Z$224,U$2,FALSE)</f>
        <v>0 c. 0 %</v>
      </c>
      <c r="V125" s="581" t="str">
        <f>VLOOKUP($A125,'Pre-Assessment Estimator'!$A$10:$Z$224,V$2,FALSE)</f>
        <v>N/A</v>
      </c>
      <c r="W125" s="584" t="str">
        <f>IF(VLOOKUP($A125,'Pre-Assessment Estimator'!$A$10:$Z$224,W$2,FALSE)=0,"",VLOOKUP($A125,'Pre-Assessment Estimator'!$A$10:$Z$224,W$2,FALSE))</f>
        <v/>
      </c>
      <c r="X125" s="584" t="str">
        <f>IF(VLOOKUP($A125,'Pre-Assessment Estimator'!$A$10:$Z$224,X$2,FALSE)=0,"",VLOOKUP($A125,'Pre-Assessment Estimator'!$A$10:$Z$224,X$2,FALSE))</f>
        <v/>
      </c>
      <c r="Y125" s="370" t="str">
        <f>IF(VLOOKUP($A125,'Pre-Assessment Estimator'!$A$10:$Z$224,Y$2,FALSE)=0,"",VLOOKUP($A125,'Pre-Assessment Estimator'!$A$10:$Z$224,Y$2,FALSE))</f>
        <v/>
      </c>
      <c r="Z125" s="705"/>
      <c r="AA125" s="584"/>
      <c r="AE125" s="386">
        <f t="shared" si="1"/>
        <v>1</v>
      </c>
      <c r="AF125" s="95" t="e">
        <f>VLOOKUP(J125,'Assessment Details'!$O$45:$P$48,2,FALSE)</f>
        <v>#N/A</v>
      </c>
      <c r="AG125" s="95" t="e">
        <f>VLOOKUP(Q125,'Assessment Details'!$O$45:$P$48,2,FALSE)</f>
        <v>#N/A</v>
      </c>
      <c r="AH125" s="95" t="e">
        <f>VLOOKUP(X125,'Assessment Details'!$O$45:$P$48,2,FALSE)</f>
        <v>#N/A</v>
      </c>
    </row>
    <row r="126" spans="1:34" x14ac:dyDescent="0.25">
      <c r="A126" s="836">
        <v>117</v>
      </c>
      <c r="B126" s="1262"/>
      <c r="C126" s="1262"/>
      <c r="D126" s="340" t="str">
        <f>VLOOKUP($A126,'Pre-Assessment Estimator'!$A$10:$Z$224,D$2,FALSE)</f>
        <v>Minimum req: legal and sustainable timber</v>
      </c>
      <c r="E126" s="581" t="str">
        <f>VLOOKUP($A126,'Pre-Assessment Estimator'!$A$10:$Z$224,E$2,FALSE)</f>
        <v>Yes/No</v>
      </c>
      <c r="F126" s="587" t="str">
        <f>IF(VLOOKUP($A126,'Pre-Assessment Estimator'!$A$10:$Z$224,F$2,FALSE)=0,"",VLOOKUP($A126,'Pre-Assessment Estimator'!$A$10:$Z$224,F$2,FALSE))</f>
        <v/>
      </c>
      <c r="G126" s="1239" t="str">
        <f>VLOOKUP($A126,'Pre-Assessment Estimator'!$A$10:$Z$224,G$2,FALSE)</f>
        <v>-</v>
      </c>
      <c r="H126" s="583" t="str">
        <f>VLOOKUP($A126,'Pre-Assessment Estimator'!$A$10:$Z$224,H$2,FALSE)</f>
        <v>Unclassified</v>
      </c>
      <c r="I126" s="584" t="str">
        <f>IF(VLOOKUP($A126,'Pre-Assessment Estimator'!$A$10:$Z$224,I$2,FALSE)=0,"",VLOOKUP($A126,'Pre-Assessment Estimator'!$A$10:$Z$224,I$2,FALSE))</f>
        <v/>
      </c>
      <c r="J126" s="584" t="str">
        <f>IF(VLOOKUP($A126,'Pre-Assessment Estimator'!$A$10:$Z$224,J$2,FALSE)=0,"",VLOOKUP($A126,'Pre-Assessment Estimator'!$A$10:$Z$224,J$2,FALSE))</f>
        <v/>
      </c>
      <c r="K126" s="585" t="str">
        <f>IF(VLOOKUP($A126,'Pre-Assessment Estimator'!$A$10:$Z$224,K$2,FALSE)=0,"",VLOOKUP($A126,'Pre-Assessment Estimator'!$A$10:$Z$224,K$2,FALSE))</f>
        <v/>
      </c>
      <c r="L126" s="586"/>
      <c r="M126" s="587" t="str">
        <f>IF(VLOOKUP($A126,'Pre-Assessment Estimator'!$A$10:$Z$224,M$2,FALSE)=0,"",VLOOKUP($A126,'Pre-Assessment Estimator'!$A$10:$Z$224,M$2,FALSE))</f>
        <v/>
      </c>
      <c r="N126" s="582" t="str">
        <f>VLOOKUP($A126,'Pre-Assessment Estimator'!$A$10:$Z$224,N$2,FALSE)</f>
        <v>-</v>
      </c>
      <c r="O126" s="581" t="str">
        <f>VLOOKUP($A126,'Pre-Assessment Estimator'!$A$10:$Z$224,O$2,FALSE)</f>
        <v>Unclassified</v>
      </c>
      <c r="P126" s="584" t="str">
        <f>IF(VLOOKUP($A126,'Pre-Assessment Estimator'!$A$10:$Z$224,P$2,FALSE)=0,"",VLOOKUP($A126,'Pre-Assessment Estimator'!$A$10:$Z$224,P$2,FALSE))</f>
        <v/>
      </c>
      <c r="Q126" s="584" t="str">
        <f>IF(VLOOKUP($A126,'Pre-Assessment Estimator'!$A$10:$Z$224,Q$2,FALSE)=0,"",VLOOKUP($A126,'Pre-Assessment Estimator'!$A$10:$Z$224,Q$2,FALSE))</f>
        <v/>
      </c>
      <c r="R126" s="585" t="str">
        <f>IF(VLOOKUP($A126,'Pre-Assessment Estimator'!$A$10:$Z$224,R$2,FALSE)=0,"",VLOOKUP($A126,'Pre-Assessment Estimator'!$A$10:$Z$224,R$2,FALSE))</f>
        <v/>
      </c>
      <c r="S126" s="588"/>
      <c r="T126" s="587" t="str">
        <f>IF(VLOOKUP($A126,'Pre-Assessment Estimator'!$A$10:$Z$224,T$2,FALSE)=0,"",VLOOKUP($A126,'Pre-Assessment Estimator'!$A$10:$Z$224,T$2,FALSE))</f>
        <v/>
      </c>
      <c r="U126" s="582" t="str">
        <f>VLOOKUP($A126,'Pre-Assessment Estimator'!$A$10:$Z$224,U$2,FALSE)</f>
        <v>-</v>
      </c>
      <c r="V126" s="581" t="str">
        <f>VLOOKUP($A126,'Pre-Assessment Estimator'!$A$10:$Z$224,V$2,FALSE)</f>
        <v>Unclassified</v>
      </c>
      <c r="W126" s="584" t="str">
        <f>IF(VLOOKUP($A126,'Pre-Assessment Estimator'!$A$10:$Z$224,W$2,FALSE)=0,"",VLOOKUP($A126,'Pre-Assessment Estimator'!$A$10:$Z$224,W$2,FALSE))</f>
        <v/>
      </c>
      <c r="X126" s="584" t="str">
        <f>IF(VLOOKUP($A126,'Pre-Assessment Estimator'!$A$10:$Z$224,X$2,FALSE)=0,"",VLOOKUP($A126,'Pre-Assessment Estimator'!$A$10:$Z$224,X$2,FALSE))</f>
        <v/>
      </c>
      <c r="Y126" s="370" t="str">
        <f>IF(VLOOKUP($A126,'Pre-Assessment Estimator'!$A$10:$Z$224,Y$2,FALSE)=0,"",VLOOKUP($A126,'Pre-Assessment Estimator'!$A$10:$Z$224,Y$2,FALSE))</f>
        <v/>
      </c>
      <c r="Z126" s="705"/>
      <c r="AA126" s="584"/>
      <c r="AE126" s="386">
        <f t="shared" si="1"/>
        <v>1</v>
      </c>
      <c r="AF126" s="95" t="e">
        <f>VLOOKUP(J126,'Assessment Details'!$O$45:$P$48,2,FALSE)</f>
        <v>#N/A</v>
      </c>
      <c r="AG126" s="95" t="e">
        <f>VLOOKUP(Q126,'Assessment Details'!$O$45:$P$48,2,FALSE)</f>
        <v>#N/A</v>
      </c>
      <c r="AH126" s="95" t="e">
        <f>VLOOKUP(X126,'Assessment Details'!$O$45:$P$48,2,FALSE)</f>
        <v>#N/A</v>
      </c>
    </row>
    <row r="127" spans="1:34" x14ac:dyDescent="0.25">
      <c r="A127" s="836">
        <v>118</v>
      </c>
      <c r="B127" s="1262"/>
      <c r="C127" s="1262"/>
      <c r="D127" s="340" t="str">
        <f>VLOOKUP($A127,'Pre-Assessment Estimator'!$A$10:$Z$224,D$2,FALSE)</f>
        <v>Enabling sustainable procurement</v>
      </c>
      <c r="E127" s="581">
        <f>VLOOKUP($A127,'Pre-Assessment Estimator'!$A$10:$Z$224,E$2,FALSE)</f>
        <v>1</v>
      </c>
      <c r="F127" s="587" t="str">
        <f>IF(VLOOKUP($A127,'Pre-Assessment Estimator'!$A$10:$Z$224,F$2,FALSE)=0,"",VLOOKUP($A127,'Pre-Assessment Estimator'!$A$10:$Z$224,F$2,FALSE))</f>
        <v/>
      </c>
      <c r="G127" s="1239">
        <f>VLOOKUP($A127,'Pre-Assessment Estimator'!$A$10:$Z$224,G$2,FALSE)</f>
        <v>0</v>
      </c>
      <c r="H127" s="583" t="str">
        <f>VLOOKUP($A127,'Pre-Assessment Estimator'!$A$10:$Z$224,H$2,FALSE)</f>
        <v>N/A</v>
      </c>
      <c r="I127" s="584" t="str">
        <f>IF(VLOOKUP($A127,'Pre-Assessment Estimator'!$A$10:$Z$224,I$2,FALSE)=0,"",VLOOKUP($A127,'Pre-Assessment Estimator'!$A$10:$Z$224,I$2,FALSE))</f>
        <v/>
      </c>
      <c r="J127" s="584" t="str">
        <f>IF(VLOOKUP($A127,'Pre-Assessment Estimator'!$A$10:$Z$224,J$2,FALSE)=0,"",VLOOKUP($A127,'Pre-Assessment Estimator'!$A$10:$Z$224,J$2,FALSE))</f>
        <v/>
      </c>
      <c r="K127" s="585" t="str">
        <f>IF(VLOOKUP($A127,'Pre-Assessment Estimator'!$A$10:$Z$224,K$2,FALSE)=0,"",VLOOKUP($A127,'Pre-Assessment Estimator'!$A$10:$Z$224,K$2,FALSE))</f>
        <v/>
      </c>
      <c r="L127" s="586"/>
      <c r="M127" s="587" t="str">
        <f>IF(VLOOKUP($A127,'Pre-Assessment Estimator'!$A$10:$Z$224,M$2,FALSE)=0,"",VLOOKUP($A127,'Pre-Assessment Estimator'!$A$10:$Z$224,M$2,FALSE))</f>
        <v/>
      </c>
      <c r="N127" s="582">
        <f>VLOOKUP($A127,'Pre-Assessment Estimator'!$A$10:$Z$224,N$2,FALSE)</f>
        <v>0</v>
      </c>
      <c r="O127" s="581" t="str">
        <f>VLOOKUP($A127,'Pre-Assessment Estimator'!$A$10:$Z$224,O$2,FALSE)</f>
        <v>N/A</v>
      </c>
      <c r="P127" s="584" t="str">
        <f>IF(VLOOKUP($A127,'Pre-Assessment Estimator'!$A$10:$Z$224,P$2,FALSE)=0,"",VLOOKUP($A127,'Pre-Assessment Estimator'!$A$10:$Z$224,P$2,FALSE))</f>
        <v/>
      </c>
      <c r="Q127" s="584" t="str">
        <f>IF(VLOOKUP($A127,'Pre-Assessment Estimator'!$A$10:$Z$224,Q$2,FALSE)=0,"",VLOOKUP($A127,'Pre-Assessment Estimator'!$A$10:$Z$224,Q$2,FALSE))</f>
        <v/>
      </c>
      <c r="R127" s="585" t="str">
        <f>IF(VLOOKUP($A127,'Pre-Assessment Estimator'!$A$10:$Z$224,R$2,FALSE)=0,"",VLOOKUP($A127,'Pre-Assessment Estimator'!$A$10:$Z$224,R$2,FALSE))</f>
        <v/>
      </c>
      <c r="S127" s="588"/>
      <c r="T127" s="587" t="str">
        <f>IF(VLOOKUP($A127,'Pre-Assessment Estimator'!$A$10:$Z$224,T$2,FALSE)=0,"",VLOOKUP($A127,'Pre-Assessment Estimator'!$A$10:$Z$224,T$2,FALSE))</f>
        <v/>
      </c>
      <c r="U127" s="582">
        <f>VLOOKUP($A127,'Pre-Assessment Estimator'!$A$10:$Z$224,U$2,FALSE)</f>
        <v>0</v>
      </c>
      <c r="V127" s="581" t="str">
        <f>VLOOKUP($A127,'Pre-Assessment Estimator'!$A$10:$Z$224,V$2,FALSE)</f>
        <v>N/A</v>
      </c>
      <c r="W127" s="584" t="str">
        <f>IF(VLOOKUP($A127,'Pre-Assessment Estimator'!$A$10:$Z$224,W$2,FALSE)=0,"",VLOOKUP($A127,'Pre-Assessment Estimator'!$A$10:$Z$224,W$2,FALSE))</f>
        <v/>
      </c>
      <c r="X127" s="584" t="str">
        <f>IF(VLOOKUP($A127,'Pre-Assessment Estimator'!$A$10:$Z$224,X$2,FALSE)=0,"",VLOOKUP($A127,'Pre-Assessment Estimator'!$A$10:$Z$224,X$2,FALSE))</f>
        <v/>
      </c>
      <c r="Y127" s="370" t="str">
        <f>IF(VLOOKUP($A127,'Pre-Assessment Estimator'!$A$10:$Z$224,Y$2,FALSE)=0,"",VLOOKUP($A127,'Pre-Assessment Estimator'!$A$10:$Z$224,Y$2,FALSE))</f>
        <v/>
      </c>
      <c r="Z127" s="705"/>
      <c r="AA127" s="584"/>
      <c r="AE127" s="386">
        <f t="shared" si="1"/>
        <v>1</v>
      </c>
      <c r="AF127" s="95" t="e">
        <f>VLOOKUP(J127,'Assessment Details'!$O$45:$P$48,2,FALSE)</f>
        <v>#N/A</v>
      </c>
      <c r="AG127" s="95" t="e">
        <f>VLOOKUP(Q127,'Assessment Details'!$O$45:$P$48,2,FALSE)</f>
        <v>#N/A</v>
      </c>
      <c r="AH127" s="95" t="e">
        <f>VLOOKUP(X127,'Assessment Details'!$O$45:$P$48,2,FALSE)</f>
        <v>#N/A</v>
      </c>
    </row>
    <row r="128" spans="1:34" x14ac:dyDescent="0.25">
      <c r="A128" s="836">
        <v>119</v>
      </c>
      <c r="B128" s="1262"/>
      <c r="C128" s="1262"/>
      <c r="D128" s="340" t="str">
        <f>VLOOKUP($A128,'Pre-Assessment Estimator'!$A$10:$Z$224,D$2,FALSE)</f>
        <v>Responsible sourcing of relevant materials</v>
      </c>
      <c r="E128" s="581">
        <f>VLOOKUP($A128,'Pre-Assessment Estimator'!$A$10:$Z$224,E$2,FALSE)</f>
        <v>2</v>
      </c>
      <c r="F128" s="587" t="str">
        <f>IF(VLOOKUP($A128,'Pre-Assessment Estimator'!$A$10:$Z$224,F$2,FALSE)=0,"",VLOOKUP($A128,'Pre-Assessment Estimator'!$A$10:$Z$224,F$2,FALSE))</f>
        <v/>
      </c>
      <c r="G128" s="1239">
        <f>VLOOKUP($A128,'Pre-Assessment Estimator'!$A$10:$Z$224,G$2,FALSE)</f>
        <v>0</v>
      </c>
      <c r="H128" s="583" t="str">
        <f>VLOOKUP($A128,'Pre-Assessment Estimator'!$A$10:$Z$224,H$2,FALSE)</f>
        <v>N/A</v>
      </c>
      <c r="I128" s="584" t="str">
        <f>IF(VLOOKUP($A128,'Pre-Assessment Estimator'!$A$10:$Z$224,I$2,FALSE)=0,"",VLOOKUP($A128,'Pre-Assessment Estimator'!$A$10:$Z$224,I$2,FALSE))</f>
        <v/>
      </c>
      <c r="J128" s="584" t="str">
        <f>IF(VLOOKUP($A128,'Pre-Assessment Estimator'!$A$10:$Z$224,J$2,FALSE)=0,"",VLOOKUP($A128,'Pre-Assessment Estimator'!$A$10:$Z$224,J$2,FALSE))</f>
        <v/>
      </c>
      <c r="K128" s="585" t="str">
        <f>IF(VLOOKUP($A128,'Pre-Assessment Estimator'!$A$10:$Z$224,K$2,FALSE)=0,"",VLOOKUP($A128,'Pre-Assessment Estimator'!$A$10:$Z$224,K$2,FALSE))</f>
        <v/>
      </c>
      <c r="L128" s="586"/>
      <c r="M128" s="587" t="str">
        <f>IF(VLOOKUP($A128,'Pre-Assessment Estimator'!$A$10:$Z$224,M$2,FALSE)=0,"",VLOOKUP($A128,'Pre-Assessment Estimator'!$A$10:$Z$224,M$2,FALSE))</f>
        <v/>
      </c>
      <c r="N128" s="582">
        <f>VLOOKUP($A128,'Pre-Assessment Estimator'!$A$10:$Z$224,N$2,FALSE)</f>
        <v>0</v>
      </c>
      <c r="O128" s="581" t="str">
        <f>VLOOKUP($A128,'Pre-Assessment Estimator'!$A$10:$Z$224,O$2,FALSE)</f>
        <v>N/A</v>
      </c>
      <c r="P128" s="584" t="str">
        <f>IF(VLOOKUP($A128,'Pre-Assessment Estimator'!$A$10:$Z$224,P$2,FALSE)=0,"",VLOOKUP($A128,'Pre-Assessment Estimator'!$A$10:$Z$224,P$2,FALSE))</f>
        <v/>
      </c>
      <c r="Q128" s="584" t="str">
        <f>IF(VLOOKUP($A128,'Pre-Assessment Estimator'!$A$10:$Z$224,Q$2,FALSE)=0,"",VLOOKUP($A128,'Pre-Assessment Estimator'!$A$10:$Z$224,Q$2,FALSE))</f>
        <v/>
      </c>
      <c r="R128" s="585" t="str">
        <f>IF(VLOOKUP($A128,'Pre-Assessment Estimator'!$A$10:$Z$224,R$2,FALSE)=0,"",VLOOKUP($A128,'Pre-Assessment Estimator'!$A$10:$Z$224,R$2,FALSE))</f>
        <v/>
      </c>
      <c r="S128" s="588"/>
      <c r="T128" s="587" t="str">
        <f>IF(VLOOKUP($A128,'Pre-Assessment Estimator'!$A$10:$Z$224,T$2,FALSE)=0,"",VLOOKUP($A128,'Pre-Assessment Estimator'!$A$10:$Z$224,T$2,FALSE))</f>
        <v/>
      </c>
      <c r="U128" s="582">
        <f>VLOOKUP($A128,'Pre-Assessment Estimator'!$A$10:$Z$224,U$2,FALSE)</f>
        <v>0</v>
      </c>
      <c r="V128" s="581" t="str">
        <f>VLOOKUP($A128,'Pre-Assessment Estimator'!$A$10:$Z$224,V$2,FALSE)</f>
        <v>N/A</v>
      </c>
      <c r="W128" s="584" t="str">
        <f>IF(VLOOKUP($A128,'Pre-Assessment Estimator'!$A$10:$Z$224,W$2,FALSE)=0,"",VLOOKUP($A128,'Pre-Assessment Estimator'!$A$10:$Z$224,W$2,FALSE))</f>
        <v/>
      </c>
      <c r="X128" s="584" t="str">
        <f>IF(VLOOKUP($A128,'Pre-Assessment Estimator'!$A$10:$Z$224,X$2,FALSE)=0,"",VLOOKUP($A128,'Pre-Assessment Estimator'!$A$10:$Z$224,X$2,FALSE))</f>
        <v/>
      </c>
      <c r="Y128" s="370" t="str">
        <f>IF(VLOOKUP($A128,'Pre-Assessment Estimator'!$A$10:$Z$224,Y$2,FALSE)=0,"",VLOOKUP($A128,'Pre-Assessment Estimator'!$A$10:$Z$224,Y$2,FALSE))</f>
        <v/>
      </c>
      <c r="Z128" s="705"/>
      <c r="AA128" s="584"/>
      <c r="AE128" s="386">
        <f t="shared" si="1"/>
        <v>1</v>
      </c>
      <c r="AF128" s="95" t="e">
        <f>VLOOKUP(J128,'Assessment Details'!$O$45:$P$48,2,FALSE)</f>
        <v>#N/A</v>
      </c>
      <c r="AG128" s="95" t="e">
        <f>VLOOKUP(Q128,'Assessment Details'!$O$45:$P$48,2,FALSE)</f>
        <v>#N/A</v>
      </c>
      <c r="AH128" s="95" t="e">
        <f>VLOOKUP(X128,'Assessment Details'!$O$45:$P$48,2,FALSE)</f>
        <v>#N/A</v>
      </c>
    </row>
    <row r="129" spans="1:34" x14ac:dyDescent="0.25">
      <c r="A129" s="836">
        <v>120</v>
      </c>
      <c r="B129" s="1262"/>
      <c r="C129" s="1262"/>
      <c r="D129" s="993" t="str">
        <f>VLOOKUP($A129,'Pre-Assessment Estimator'!$A$10:$Z$224,D$2,FALSE)</f>
        <v>Mat 05 Designing for durability and climate adaption</v>
      </c>
      <c r="E129" s="581">
        <f>VLOOKUP($A129,'Pre-Assessment Estimator'!$A$10:$Z$224,E$2,FALSE)</f>
        <v>4</v>
      </c>
      <c r="F129" s="587" t="str">
        <f>IF(VLOOKUP($A129,'Pre-Assessment Estimator'!$A$10:$Z$224,F$2,FALSE)=0,"",VLOOKUP($A129,'Pre-Assessment Estimator'!$A$10:$Z$224,F$2,FALSE))</f>
        <v/>
      </c>
      <c r="G129" s="1239" t="str">
        <f>VLOOKUP($A129,'Pre-Assessment Estimator'!$A$10:$Z$224,G$2,FALSE)</f>
        <v>0 c. 0 %</v>
      </c>
      <c r="H129" s="583" t="str">
        <f>VLOOKUP($A129,'Pre-Assessment Estimator'!$A$10:$Z$224,H$2,FALSE)</f>
        <v>N/A</v>
      </c>
      <c r="I129" s="584" t="str">
        <f>IF(VLOOKUP($A129,'Pre-Assessment Estimator'!$A$10:$Z$224,I$2,FALSE)=0,"",VLOOKUP($A129,'Pre-Assessment Estimator'!$A$10:$Z$224,I$2,FALSE))</f>
        <v/>
      </c>
      <c r="J129" s="584" t="str">
        <f>IF(VLOOKUP($A129,'Pre-Assessment Estimator'!$A$10:$Z$224,J$2,FALSE)=0,"",VLOOKUP($A129,'Pre-Assessment Estimator'!$A$10:$Z$224,J$2,FALSE))</f>
        <v/>
      </c>
      <c r="K129" s="585" t="str">
        <f>IF(VLOOKUP($A129,'Pre-Assessment Estimator'!$A$10:$Z$224,K$2,FALSE)=0,"",VLOOKUP($A129,'Pre-Assessment Estimator'!$A$10:$Z$224,K$2,FALSE))</f>
        <v/>
      </c>
      <c r="L129" s="586"/>
      <c r="M129" s="587" t="str">
        <f>IF(VLOOKUP($A129,'Pre-Assessment Estimator'!$A$10:$Z$224,M$2,FALSE)=0,"",VLOOKUP($A129,'Pre-Assessment Estimator'!$A$10:$Z$224,M$2,FALSE))</f>
        <v/>
      </c>
      <c r="N129" s="582" t="str">
        <f>VLOOKUP($A129,'Pre-Assessment Estimator'!$A$10:$Z$224,N$2,FALSE)</f>
        <v>0 c. 0 %</v>
      </c>
      <c r="O129" s="581" t="str">
        <f>VLOOKUP($A129,'Pre-Assessment Estimator'!$A$10:$Z$224,O$2,FALSE)</f>
        <v>N/A</v>
      </c>
      <c r="P129" s="584" t="str">
        <f>IF(VLOOKUP($A129,'Pre-Assessment Estimator'!$A$10:$Z$224,P$2,FALSE)=0,"",VLOOKUP($A129,'Pre-Assessment Estimator'!$A$10:$Z$224,P$2,FALSE))</f>
        <v/>
      </c>
      <c r="Q129" s="584" t="str">
        <f>IF(VLOOKUP($A129,'Pre-Assessment Estimator'!$A$10:$Z$224,Q$2,FALSE)=0,"",VLOOKUP($A129,'Pre-Assessment Estimator'!$A$10:$Z$224,Q$2,FALSE))</f>
        <v/>
      </c>
      <c r="R129" s="585" t="str">
        <f>IF(VLOOKUP($A129,'Pre-Assessment Estimator'!$A$10:$Z$224,R$2,FALSE)=0,"",VLOOKUP($A129,'Pre-Assessment Estimator'!$A$10:$Z$224,R$2,FALSE))</f>
        <v/>
      </c>
      <c r="S129" s="588"/>
      <c r="T129" s="587" t="str">
        <f>IF(VLOOKUP($A129,'Pre-Assessment Estimator'!$A$10:$Z$224,T$2,FALSE)=0,"",VLOOKUP($A129,'Pre-Assessment Estimator'!$A$10:$Z$224,T$2,FALSE))</f>
        <v/>
      </c>
      <c r="U129" s="582" t="str">
        <f>VLOOKUP($A129,'Pre-Assessment Estimator'!$A$10:$Z$224,U$2,FALSE)</f>
        <v>0 c. 0 %</v>
      </c>
      <c r="V129" s="581" t="str">
        <f>VLOOKUP($A129,'Pre-Assessment Estimator'!$A$10:$Z$224,V$2,FALSE)</f>
        <v>N/A</v>
      </c>
      <c r="W129" s="584" t="str">
        <f>IF(VLOOKUP($A129,'Pre-Assessment Estimator'!$A$10:$Z$224,W$2,FALSE)=0,"",VLOOKUP($A129,'Pre-Assessment Estimator'!$A$10:$Z$224,W$2,FALSE))</f>
        <v/>
      </c>
      <c r="X129" s="584" t="str">
        <f>IF(VLOOKUP($A129,'Pre-Assessment Estimator'!$A$10:$Z$224,X$2,FALSE)=0,"",VLOOKUP($A129,'Pre-Assessment Estimator'!$A$10:$Z$224,X$2,FALSE))</f>
        <v/>
      </c>
      <c r="Y129" s="370" t="str">
        <f>IF(VLOOKUP($A129,'Pre-Assessment Estimator'!$A$10:$Z$224,Y$2,FALSE)=0,"",VLOOKUP($A129,'Pre-Assessment Estimator'!$A$10:$Z$224,Y$2,FALSE))</f>
        <v/>
      </c>
      <c r="Z129" s="705"/>
      <c r="AA129" s="584"/>
      <c r="AE129" s="386">
        <f t="shared" si="1"/>
        <v>1</v>
      </c>
      <c r="AF129" s="95" t="e">
        <f>VLOOKUP(J129,'Assessment Details'!$O$45:$P$48,2,FALSE)</f>
        <v>#N/A</v>
      </c>
      <c r="AG129" s="95" t="e">
        <f>VLOOKUP(Q129,'Assessment Details'!$O$45:$P$48,2,FALSE)</f>
        <v>#N/A</v>
      </c>
      <c r="AH129" s="95" t="e">
        <f>VLOOKUP(X129,'Assessment Details'!$O$45:$P$48,2,FALSE)</f>
        <v>#N/A</v>
      </c>
    </row>
    <row r="130" spans="1:34" x14ac:dyDescent="0.25">
      <c r="A130" s="836">
        <v>121</v>
      </c>
      <c r="B130" s="1262"/>
      <c r="C130" s="1262"/>
      <c r="D130" s="340" t="str">
        <f>VLOOKUP($A130,'Pre-Assessment Estimator'!$A$10:$Z$224,D$2,FALSE)</f>
        <v>Pre-requisite: risk analysis</v>
      </c>
      <c r="E130" s="581" t="str">
        <f>VLOOKUP($A130,'Pre-Assessment Estimator'!$A$10:$Z$224,E$2,FALSE)</f>
        <v>Yes/No</v>
      </c>
      <c r="F130" s="587" t="str">
        <f>IF(VLOOKUP($A130,'Pre-Assessment Estimator'!$A$10:$Z$224,F$2,FALSE)=0,"",VLOOKUP($A130,'Pre-Assessment Estimator'!$A$10:$Z$224,F$2,FALSE))</f>
        <v/>
      </c>
      <c r="G130" s="1239" t="str">
        <f>VLOOKUP($A130,'Pre-Assessment Estimator'!$A$10:$Z$224,G$2,FALSE)</f>
        <v>-</v>
      </c>
      <c r="H130" s="583" t="str">
        <f>VLOOKUP($A130,'Pre-Assessment Estimator'!$A$10:$Z$224,H$2,FALSE)</f>
        <v>N/A</v>
      </c>
      <c r="I130" s="584" t="str">
        <f>IF(VLOOKUP($A130,'Pre-Assessment Estimator'!$A$10:$Z$224,I$2,FALSE)=0,"",VLOOKUP($A130,'Pre-Assessment Estimator'!$A$10:$Z$224,I$2,FALSE))</f>
        <v/>
      </c>
      <c r="J130" s="584" t="str">
        <f>IF(VLOOKUP($A130,'Pre-Assessment Estimator'!$A$10:$Z$224,J$2,FALSE)=0,"",VLOOKUP($A130,'Pre-Assessment Estimator'!$A$10:$Z$224,J$2,FALSE))</f>
        <v/>
      </c>
      <c r="K130" s="585" t="str">
        <f>IF(VLOOKUP($A130,'Pre-Assessment Estimator'!$A$10:$Z$224,K$2,FALSE)=0,"",VLOOKUP($A130,'Pre-Assessment Estimator'!$A$10:$Z$224,K$2,FALSE))</f>
        <v/>
      </c>
      <c r="L130" s="586"/>
      <c r="M130" s="587" t="str">
        <f>IF(VLOOKUP($A130,'Pre-Assessment Estimator'!$A$10:$Z$224,M$2,FALSE)=0,"",VLOOKUP($A130,'Pre-Assessment Estimator'!$A$10:$Z$224,M$2,FALSE))</f>
        <v/>
      </c>
      <c r="N130" s="582" t="str">
        <f>VLOOKUP($A130,'Pre-Assessment Estimator'!$A$10:$Z$224,N$2,FALSE)</f>
        <v>-</v>
      </c>
      <c r="O130" s="581" t="str">
        <f>VLOOKUP($A130,'Pre-Assessment Estimator'!$A$10:$Z$224,O$2,FALSE)</f>
        <v>N/A</v>
      </c>
      <c r="P130" s="584" t="str">
        <f>IF(VLOOKUP($A130,'Pre-Assessment Estimator'!$A$10:$Z$224,P$2,FALSE)=0,"",VLOOKUP($A130,'Pre-Assessment Estimator'!$A$10:$Z$224,P$2,FALSE))</f>
        <v/>
      </c>
      <c r="Q130" s="584" t="str">
        <f>IF(VLOOKUP($A130,'Pre-Assessment Estimator'!$A$10:$Z$224,Q$2,FALSE)=0,"",VLOOKUP($A130,'Pre-Assessment Estimator'!$A$10:$Z$224,Q$2,FALSE))</f>
        <v/>
      </c>
      <c r="R130" s="585" t="str">
        <f>IF(VLOOKUP($A130,'Pre-Assessment Estimator'!$A$10:$Z$224,R$2,FALSE)=0,"",VLOOKUP($A130,'Pre-Assessment Estimator'!$A$10:$Z$224,R$2,FALSE))</f>
        <v/>
      </c>
      <c r="S130" s="588"/>
      <c r="T130" s="587" t="str">
        <f>IF(VLOOKUP($A130,'Pre-Assessment Estimator'!$A$10:$Z$224,T$2,FALSE)=0,"",VLOOKUP($A130,'Pre-Assessment Estimator'!$A$10:$Z$224,T$2,FALSE))</f>
        <v/>
      </c>
      <c r="U130" s="582" t="str">
        <f>VLOOKUP($A130,'Pre-Assessment Estimator'!$A$10:$Z$224,U$2,FALSE)</f>
        <v>-</v>
      </c>
      <c r="V130" s="581" t="str">
        <f>VLOOKUP($A130,'Pre-Assessment Estimator'!$A$10:$Z$224,V$2,FALSE)</f>
        <v>N/A</v>
      </c>
      <c r="W130" s="584" t="str">
        <f>IF(VLOOKUP($A130,'Pre-Assessment Estimator'!$A$10:$Z$224,W$2,FALSE)=0,"",VLOOKUP($A130,'Pre-Assessment Estimator'!$A$10:$Z$224,W$2,FALSE))</f>
        <v/>
      </c>
      <c r="X130" s="584" t="str">
        <f>IF(VLOOKUP($A130,'Pre-Assessment Estimator'!$A$10:$Z$224,X$2,FALSE)=0,"",VLOOKUP($A130,'Pre-Assessment Estimator'!$A$10:$Z$224,X$2,FALSE))</f>
        <v/>
      </c>
      <c r="Y130" s="370" t="str">
        <f>IF(VLOOKUP($A130,'Pre-Assessment Estimator'!$A$10:$Z$224,Y$2,FALSE)=0,"",VLOOKUP($A130,'Pre-Assessment Estimator'!$A$10:$Z$224,Y$2,FALSE))</f>
        <v/>
      </c>
      <c r="Z130" s="705"/>
      <c r="AA130" s="584"/>
      <c r="AE130" s="386">
        <f t="shared" si="1"/>
        <v>1</v>
      </c>
      <c r="AF130" s="95" t="e">
        <f>VLOOKUP(J130,'Assessment Details'!$O$45:$P$48,2,FALSE)</f>
        <v>#N/A</v>
      </c>
      <c r="AG130" s="95" t="e">
        <f>VLOOKUP(Q130,'Assessment Details'!$O$45:$P$48,2,FALSE)</f>
        <v>#N/A</v>
      </c>
      <c r="AH130" s="95" t="e">
        <f>VLOOKUP(X130,'Assessment Details'!$O$45:$P$48,2,FALSE)</f>
        <v>#N/A</v>
      </c>
    </row>
    <row r="131" spans="1:34" x14ac:dyDescent="0.25">
      <c r="A131" s="836">
        <v>122</v>
      </c>
      <c r="B131" s="1262"/>
      <c r="C131" s="1262"/>
      <c r="D131" s="340" t="str">
        <f>VLOOKUP($A131,'Pre-Assessment Estimator'!$A$10:$Z$224,D$2,FALSE)</f>
        <v>Protect vulnerable parts of the building from damage</v>
      </c>
      <c r="E131" s="581">
        <f>VLOOKUP($A131,'Pre-Assessment Estimator'!$A$10:$Z$224,E$2,FALSE)</f>
        <v>1</v>
      </c>
      <c r="F131" s="587" t="str">
        <f>IF(VLOOKUP($A131,'Pre-Assessment Estimator'!$A$10:$Z$224,F$2,FALSE)=0,"",VLOOKUP($A131,'Pre-Assessment Estimator'!$A$10:$Z$224,F$2,FALSE))</f>
        <v/>
      </c>
      <c r="G131" s="1239">
        <f>VLOOKUP($A131,'Pre-Assessment Estimator'!$A$10:$Z$224,G$2,FALSE)</f>
        <v>0</v>
      </c>
      <c r="H131" s="583" t="str">
        <f>VLOOKUP($A131,'Pre-Assessment Estimator'!$A$10:$Z$224,H$2,FALSE)</f>
        <v>N/A</v>
      </c>
      <c r="I131" s="584" t="str">
        <f>IF(VLOOKUP($A131,'Pre-Assessment Estimator'!$A$10:$Z$224,I$2,FALSE)=0,"",VLOOKUP($A131,'Pre-Assessment Estimator'!$A$10:$Z$224,I$2,FALSE))</f>
        <v/>
      </c>
      <c r="J131" s="584" t="str">
        <f>IF(VLOOKUP($A131,'Pre-Assessment Estimator'!$A$10:$Z$224,J$2,FALSE)=0,"",VLOOKUP($A131,'Pre-Assessment Estimator'!$A$10:$Z$224,J$2,FALSE))</f>
        <v/>
      </c>
      <c r="K131" s="585" t="str">
        <f>IF(VLOOKUP($A131,'Pre-Assessment Estimator'!$A$10:$Z$224,K$2,FALSE)=0,"",VLOOKUP($A131,'Pre-Assessment Estimator'!$A$10:$Z$224,K$2,FALSE))</f>
        <v/>
      </c>
      <c r="L131" s="586"/>
      <c r="M131" s="587" t="str">
        <f>IF(VLOOKUP($A131,'Pre-Assessment Estimator'!$A$10:$Z$224,M$2,FALSE)=0,"",VLOOKUP($A131,'Pre-Assessment Estimator'!$A$10:$Z$224,M$2,FALSE))</f>
        <v/>
      </c>
      <c r="N131" s="582">
        <f>VLOOKUP($A131,'Pre-Assessment Estimator'!$A$10:$Z$224,N$2,FALSE)</f>
        <v>0</v>
      </c>
      <c r="O131" s="581" t="str">
        <f>VLOOKUP($A131,'Pre-Assessment Estimator'!$A$10:$Z$224,O$2,FALSE)</f>
        <v>N/A</v>
      </c>
      <c r="P131" s="584" t="str">
        <f>IF(VLOOKUP($A131,'Pre-Assessment Estimator'!$A$10:$Z$224,P$2,FALSE)=0,"",VLOOKUP($A131,'Pre-Assessment Estimator'!$A$10:$Z$224,P$2,FALSE))</f>
        <v/>
      </c>
      <c r="Q131" s="584" t="str">
        <f>IF(VLOOKUP($A131,'Pre-Assessment Estimator'!$A$10:$Z$224,Q$2,FALSE)=0,"",VLOOKUP($A131,'Pre-Assessment Estimator'!$A$10:$Z$224,Q$2,FALSE))</f>
        <v/>
      </c>
      <c r="R131" s="585" t="str">
        <f>IF(VLOOKUP($A131,'Pre-Assessment Estimator'!$A$10:$Z$224,R$2,FALSE)=0,"",VLOOKUP($A131,'Pre-Assessment Estimator'!$A$10:$Z$224,R$2,FALSE))</f>
        <v/>
      </c>
      <c r="S131" s="588"/>
      <c r="T131" s="587" t="str">
        <f>IF(VLOOKUP($A131,'Pre-Assessment Estimator'!$A$10:$Z$224,T$2,FALSE)=0,"",VLOOKUP($A131,'Pre-Assessment Estimator'!$A$10:$Z$224,T$2,FALSE))</f>
        <v/>
      </c>
      <c r="U131" s="582">
        <f>VLOOKUP($A131,'Pre-Assessment Estimator'!$A$10:$Z$224,U$2,FALSE)</f>
        <v>0</v>
      </c>
      <c r="V131" s="581" t="str">
        <f>VLOOKUP($A131,'Pre-Assessment Estimator'!$A$10:$Z$224,V$2,FALSE)</f>
        <v>N/A</v>
      </c>
      <c r="W131" s="584" t="str">
        <f>IF(VLOOKUP($A131,'Pre-Assessment Estimator'!$A$10:$Z$224,W$2,FALSE)=0,"",VLOOKUP($A131,'Pre-Assessment Estimator'!$A$10:$Z$224,W$2,FALSE))</f>
        <v/>
      </c>
      <c r="X131" s="584" t="str">
        <f>IF(VLOOKUP($A131,'Pre-Assessment Estimator'!$A$10:$Z$224,X$2,FALSE)=0,"",VLOOKUP($A131,'Pre-Assessment Estimator'!$A$10:$Z$224,X$2,FALSE))</f>
        <v/>
      </c>
      <c r="Y131" s="370" t="str">
        <f>IF(VLOOKUP($A131,'Pre-Assessment Estimator'!$A$10:$Z$224,Y$2,FALSE)=0,"",VLOOKUP($A131,'Pre-Assessment Estimator'!$A$10:$Z$224,Y$2,FALSE))</f>
        <v/>
      </c>
      <c r="Z131" s="705"/>
      <c r="AA131" s="584"/>
      <c r="AE131" s="386">
        <f t="shared" si="1"/>
        <v>1</v>
      </c>
      <c r="AF131" s="95" t="e">
        <f>VLOOKUP(J131,'Assessment Details'!$O$45:$P$48,2,FALSE)</f>
        <v>#N/A</v>
      </c>
      <c r="AG131" s="95" t="e">
        <f>VLOOKUP(Q131,'Assessment Details'!$O$45:$P$48,2,FALSE)</f>
        <v>#N/A</v>
      </c>
      <c r="AH131" s="95" t="e">
        <f>VLOOKUP(X131,'Assessment Details'!$O$45:$P$48,2,FALSE)</f>
        <v>#N/A</v>
      </c>
    </row>
    <row r="132" spans="1:34" ht="30" x14ac:dyDescent="0.25">
      <c r="A132" s="836">
        <v>123</v>
      </c>
      <c r="B132" s="1262"/>
      <c r="C132" s="1262"/>
      <c r="D132" s="340" t="str">
        <f>VLOOKUP($A132,'Pre-Assessment Estimator'!$A$10:$Z$224,D$2,FALSE)</f>
        <v xml:space="preserve">Protecting exposed parts of the building from material degradation </v>
      </c>
      <c r="E132" s="581">
        <f>VLOOKUP($A132,'Pre-Assessment Estimator'!$A$10:$Z$224,E$2,FALSE)</f>
        <v>1</v>
      </c>
      <c r="F132" s="587" t="str">
        <f>IF(VLOOKUP($A132,'Pre-Assessment Estimator'!$A$10:$Z$224,F$2,FALSE)=0,"",VLOOKUP($A132,'Pre-Assessment Estimator'!$A$10:$Z$224,F$2,FALSE))</f>
        <v/>
      </c>
      <c r="G132" s="1239">
        <f>VLOOKUP($A132,'Pre-Assessment Estimator'!$A$10:$Z$224,G$2,FALSE)</f>
        <v>0</v>
      </c>
      <c r="H132" s="583" t="str">
        <f>VLOOKUP($A132,'Pre-Assessment Estimator'!$A$10:$Z$224,H$2,FALSE)</f>
        <v>N/A</v>
      </c>
      <c r="I132" s="584" t="str">
        <f>IF(VLOOKUP($A132,'Pre-Assessment Estimator'!$A$10:$Z$224,I$2,FALSE)=0,"",VLOOKUP($A132,'Pre-Assessment Estimator'!$A$10:$Z$224,I$2,FALSE))</f>
        <v/>
      </c>
      <c r="J132" s="584" t="str">
        <f>IF(VLOOKUP($A132,'Pre-Assessment Estimator'!$A$10:$Z$224,J$2,FALSE)=0,"",VLOOKUP($A132,'Pre-Assessment Estimator'!$A$10:$Z$224,J$2,FALSE))</f>
        <v/>
      </c>
      <c r="K132" s="585" t="str">
        <f>IF(VLOOKUP($A132,'Pre-Assessment Estimator'!$A$10:$Z$224,K$2,FALSE)=0,"",VLOOKUP($A132,'Pre-Assessment Estimator'!$A$10:$Z$224,K$2,FALSE))</f>
        <v/>
      </c>
      <c r="L132" s="586"/>
      <c r="M132" s="587" t="str">
        <f>IF(VLOOKUP($A132,'Pre-Assessment Estimator'!$A$10:$Z$224,M$2,FALSE)=0,"",VLOOKUP($A132,'Pre-Assessment Estimator'!$A$10:$Z$224,M$2,FALSE))</f>
        <v/>
      </c>
      <c r="N132" s="582">
        <f>VLOOKUP($A132,'Pre-Assessment Estimator'!$A$10:$Z$224,N$2,FALSE)</f>
        <v>0</v>
      </c>
      <c r="O132" s="581" t="str">
        <f>VLOOKUP($A132,'Pre-Assessment Estimator'!$A$10:$Z$224,O$2,FALSE)</f>
        <v>N/A</v>
      </c>
      <c r="P132" s="584" t="str">
        <f>IF(VLOOKUP($A132,'Pre-Assessment Estimator'!$A$10:$Z$224,P$2,FALSE)=0,"",VLOOKUP($A132,'Pre-Assessment Estimator'!$A$10:$Z$224,P$2,FALSE))</f>
        <v/>
      </c>
      <c r="Q132" s="584" t="str">
        <f>IF(VLOOKUP($A132,'Pre-Assessment Estimator'!$A$10:$Z$224,Q$2,FALSE)=0,"",VLOOKUP($A132,'Pre-Assessment Estimator'!$A$10:$Z$224,Q$2,FALSE))</f>
        <v/>
      </c>
      <c r="R132" s="585" t="str">
        <f>IF(VLOOKUP($A132,'Pre-Assessment Estimator'!$A$10:$Z$224,R$2,FALSE)=0,"",VLOOKUP($A132,'Pre-Assessment Estimator'!$A$10:$Z$224,R$2,FALSE))</f>
        <v/>
      </c>
      <c r="S132" s="588"/>
      <c r="T132" s="587" t="str">
        <f>IF(VLOOKUP($A132,'Pre-Assessment Estimator'!$A$10:$Z$224,T$2,FALSE)=0,"",VLOOKUP($A132,'Pre-Assessment Estimator'!$A$10:$Z$224,T$2,FALSE))</f>
        <v/>
      </c>
      <c r="U132" s="582">
        <f>VLOOKUP($A132,'Pre-Assessment Estimator'!$A$10:$Z$224,U$2,FALSE)</f>
        <v>0</v>
      </c>
      <c r="V132" s="581" t="str">
        <f>VLOOKUP($A132,'Pre-Assessment Estimator'!$A$10:$Z$224,V$2,FALSE)</f>
        <v>N/A</v>
      </c>
      <c r="W132" s="584" t="str">
        <f>IF(VLOOKUP($A132,'Pre-Assessment Estimator'!$A$10:$Z$224,W$2,FALSE)=0,"",VLOOKUP($A132,'Pre-Assessment Estimator'!$A$10:$Z$224,W$2,FALSE))</f>
        <v/>
      </c>
      <c r="X132" s="584" t="str">
        <f>IF(VLOOKUP($A132,'Pre-Assessment Estimator'!$A$10:$Z$224,X$2,FALSE)=0,"",VLOOKUP($A132,'Pre-Assessment Estimator'!$A$10:$Z$224,X$2,FALSE))</f>
        <v/>
      </c>
      <c r="Y132" s="370" t="str">
        <f>IF(VLOOKUP($A132,'Pre-Assessment Estimator'!$A$10:$Z$224,Y$2,FALSE)=0,"",VLOOKUP($A132,'Pre-Assessment Estimator'!$A$10:$Z$224,Y$2,FALSE))</f>
        <v/>
      </c>
      <c r="Z132" s="705"/>
      <c r="AA132" s="584"/>
      <c r="AE132" s="386">
        <f t="shared" si="1"/>
        <v>1</v>
      </c>
      <c r="AF132" s="95" t="e">
        <f>VLOOKUP(J132,'Assessment Details'!$O$45:$P$48,2,FALSE)</f>
        <v>#N/A</v>
      </c>
      <c r="AG132" s="95" t="e">
        <f>VLOOKUP(Q132,'Assessment Details'!$O$45:$P$48,2,FALSE)</f>
        <v>#N/A</v>
      </c>
      <c r="AH132" s="95" t="e">
        <f>VLOOKUP(X132,'Assessment Details'!$O$45:$P$48,2,FALSE)</f>
        <v>#N/A</v>
      </c>
    </row>
    <row r="133" spans="1:34" x14ac:dyDescent="0.25">
      <c r="A133" s="836">
        <v>124</v>
      </c>
      <c r="B133" s="1262"/>
      <c r="C133" s="1262"/>
      <c r="D133" s="340" t="str">
        <f>VLOOKUP($A133,'Pre-Assessment Estimator'!$A$10:$Z$224,D$2,FALSE)</f>
        <v>Control plan and moisture measurements</v>
      </c>
      <c r="E133" s="581">
        <f>VLOOKUP($A133,'Pre-Assessment Estimator'!$A$10:$Z$224,E$2,FALSE)</f>
        <v>1</v>
      </c>
      <c r="F133" s="587" t="str">
        <f>IF(VLOOKUP($A133,'Pre-Assessment Estimator'!$A$10:$Z$224,F$2,FALSE)=0,"",VLOOKUP($A133,'Pre-Assessment Estimator'!$A$10:$Z$224,F$2,FALSE))</f>
        <v/>
      </c>
      <c r="G133" s="1239">
        <f>VLOOKUP($A133,'Pre-Assessment Estimator'!$A$10:$Z$224,G$2,FALSE)</f>
        <v>0</v>
      </c>
      <c r="H133" s="583" t="str">
        <f>VLOOKUP($A133,'Pre-Assessment Estimator'!$A$10:$Z$224,H$2,FALSE)</f>
        <v>Very Good</v>
      </c>
      <c r="I133" s="584" t="str">
        <f>IF(VLOOKUP($A133,'Pre-Assessment Estimator'!$A$10:$Z$224,I$2,FALSE)=0,"",VLOOKUP($A133,'Pre-Assessment Estimator'!$A$10:$Z$224,I$2,FALSE))</f>
        <v/>
      </c>
      <c r="J133" s="584" t="str">
        <f>IF(VLOOKUP($A133,'Pre-Assessment Estimator'!$A$10:$Z$224,J$2,FALSE)=0,"",VLOOKUP($A133,'Pre-Assessment Estimator'!$A$10:$Z$224,J$2,FALSE))</f>
        <v/>
      </c>
      <c r="K133" s="585" t="str">
        <f>IF(VLOOKUP($A133,'Pre-Assessment Estimator'!$A$10:$Z$224,K$2,FALSE)=0,"",VLOOKUP($A133,'Pre-Assessment Estimator'!$A$10:$Z$224,K$2,FALSE))</f>
        <v/>
      </c>
      <c r="L133" s="586"/>
      <c r="M133" s="587" t="str">
        <f>IF(VLOOKUP($A133,'Pre-Assessment Estimator'!$A$10:$Z$224,M$2,FALSE)=0,"",VLOOKUP($A133,'Pre-Assessment Estimator'!$A$10:$Z$224,M$2,FALSE))</f>
        <v/>
      </c>
      <c r="N133" s="582">
        <f>VLOOKUP($A133,'Pre-Assessment Estimator'!$A$10:$Z$224,N$2,FALSE)</f>
        <v>0</v>
      </c>
      <c r="O133" s="581" t="str">
        <f>VLOOKUP($A133,'Pre-Assessment Estimator'!$A$10:$Z$224,O$2,FALSE)</f>
        <v>Very Good</v>
      </c>
      <c r="P133" s="584" t="str">
        <f>IF(VLOOKUP($A133,'Pre-Assessment Estimator'!$A$10:$Z$224,P$2,FALSE)=0,"",VLOOKUP($A133,'Pre-Assessment Estimator'!$A$10:$Z$224,P$2,FALSE))</f>
        <v/>
      </c>
      <c r="Q133" s="584" t="str">
        <f>IF(VLOOKUP($A133,'Pre-Assessment Estimator'!$A$10:$Z$224,Q$2,FALSE)=0,"",VLOOKUP($A133,'Pre-Assessment Estimator'!$A$10:$Z$224,Q$2,FALSE))</f>
        <v/>
      </c>
      <c r="R133" s="585" t="str">
        <f>IF(VLOOKUP($A133,'Pre-Assessment Estimator'!$A$10:$Z$224,R$2,FALSE)=0,"",VLOOKUP($A133,'Pre-Assessment Estimator'!$A$10:$Z$224,R$2,FALSE))</f>
        <v/>
      </c>
      <c r="S133" s="588"/>
      <c r="T133" s="587" t="str">
        <f>IF(VLOOKUP($A133,'Pre-Assessment Estimator'!$A$10:$Z$224,T$2,FALSE)=0,"",VLOOKUP($A133,'Pre-Assessment Estimator'!$A$10:$Z$224,T$2,FALSE))</f>
        <v/>
      </c>
      <c r="U133" s="582">
        <f>VLOOKUP($A133,'Pre-Assessment Estimator'!$A$10:$Z$224,U$2,FALSE)</f>
        <v>0</v>
      </c>
      <c r="V133" s="581" t="str">
        <f>VLOOKUP($A133,'Pre-Assessment Estimator'!$A$10:$Z$224,V$2,FALSE)</f>
        <v>Very Good</v>
      </c>
      <c r="W133" s="584" t="str">
        <f>IF(VLOOKUP($A133,'Pre-Assessment Estimator'!$A$10:$Z$224,W$2,FALSE)=0,"",VLOOKUP($A133,'Pre-Assessment Estimator'!$A$10:$Z$224,W$2,FALSE))</f>
        <v/>
      </c>
      <c r="X133" s="584" t="str">
        <f>IF(VLOOKUP($A133,'Pre-Assessment Estimator'!$A$10:$Z$224,X$2,FALSE)=0,"",VLOOKUP($A133,'Pre-Assessment Estimator'!$A$10:$Z$224,X$2,FALSE))</f>
        <v/>
      </c>
      <c r="Y133" s="370" t="str">
        <f>IF(VLOOKUP($A133,'Pre-Assessment Estimator'!$A$10:$Z$224,Y$2,FALSE)=0,"",VLOOKUP($A133,'Pre-Assessment Estimator'!$A$10:$Z$224,Y$2,FALSE))</f>
        <v/>
      </c>
      <c r="Z133" s="705"/>
      <c r="AA133" s="584"/>
      <c r="AE133" s="386">
        <f t="shared" si="1"/>
        <v>1</v>
      </c>
      <c r="AF133" s="95" t="e">
        <f>VLOOKUP(J133,'Assessment Details'!$O$45:$P$48,2,FALSE)</f>
        <v>#N/A</v>
      </c>
      <c r="AG133" s="95" t="e">
        <f>VLOOKUP(Q133,'Assessment Details'!$O$45:$P$48,2,FALSE)</f>
        <v>#N/A</v>
      </c>
      <c r="AH133" s="95" t="e">
        <f>VLOOKUP(X133,'Assessment Details'!$O$45:$P$48,2,FALSE)</f>
        <v>#N/A</v>
      </c>
    </row>
    <row r="134" spans="1:34" x14ac:dyDescent="0.25">
      <c r="A134" s="836">
        <v>125</v>
      </c>
      <c r="B134" s="1262"/>
      <c r="C134" s="1262"/>
      <c r="D134" s="340" t="str">
        <f>VLOOKUP($A134,'Pre-Assessment Estimator'!$A$10:$Z$224,D$2,FALSE)</f>
        <v>Construction under cover</v>
      </c>
      <c r="E134" s="581">
        <f>VLOOKUP($A134,'Pre-Assessment Estimator'!$A$10:$Z$224,E$2,FALSE)</f>
        <v>1</v>
      </c>
      <c r="F134" s="587" t="str">
        <f>IF(VLOOKUP($A134,'Pre-Assessment Estimator'!$A$10:$Z$224,F$2,FALSE)=0,"",VLOOKUP($A134,'Pre-Assessment Estimator'!$A$10:$Z$224,F$2,FALSE))</f>
        <v/>
      </c>
      <c r="G134" s="1239">
        <f>VLOOKUP($A134,'Pre-Assessment Estimator'!$A$10:$Z$224,G$2,FALSE)</f>
        <v>0</v>
      </c>
      <c r="H134" s="583" t="str">
        <f>VLOOKUP($A134,'Pre-Assessment Estimator'!$A$10:$Z$224,H$2,FALSE)</f>
        <v>N/A</v>
      </c>
      <c r="I134" s="584" t="str">
        <f>IF(VLOOKUP($A134,'Pre-Assessment Estimator'!$A$10:$Z$224,I$2,FALSE)=0,"",VLOOKUP($A134,'Pre-Assessment Estimator'!$A$10:$Z$224,I$2,FALSE))</f>
        <v/>
      </c>
      <c r="J134" s="584" t="str">
        <f>IF(VLOOKUP($A134,'Pre-Assessment Estimator'!$A$10:$Z$224,J$2,FALSE)=0,"",VLOOKUP($A134,'Pre-Assessment Estimator'!$A$10:$Z$224,J$2,FALSE))</f>
        <v/>
      </c>
      <c r="K134" s="585" t="str">
        <f>IF(VLOOKUP($A134,'Pre-Assessment Estimator'!$A$10:$Z$224,K$2,FALSE)=0,"",VLOOKUP($A134,'Pre-Assessment Estimator'!$A$10:$Z$224,K$2,FALSE))</f>
        <v/>
      </c>
      <c r="L134" s="586"/>
      <c r="M134" s="587" t="str">
        <f>IF(VLOOKUP($A134,'Pre-Assessment Estimator'!$A$10:$Z$224,M$2,FALSE)=0,"",VLOOKUP($A134,'Pre-Assessment Estimator'!$A$10:$Z$224,M$2,FALSE))</f>
        <v/>
      </c>
      <c r="N134" s="582">
        <f>VLOOKUP($A134,'Pre-Assessment Estimator'!$A$10:$Z$224,N$2,FALSE)</f>
        <v>0</v>
      </c>
      <c r="O134" s="581" t="str">
        <f>VLOOKUP($A134,'Pre-Assessment Estimator'!$A$10:$Z$224,O$2,FALSE)</f>
        <v>N/A</v>
      </c>
      <c r="P134" s="584" t="str">
        <f>IF(VLOOKUP($A134,'Pre-Assessment Estimator'!$A$10:$Z$224,P$2,FALSE)=0,"",VLOOKUP($A134,'Pre-Assessment Estimator'!$A$10:$Z$224,P$2,FALSE))</f>
        <v/>
      </c>
      <c r="Q134" s="584" t="str">
        <f>IF(VLOOKUP($A134,'Pre-Assessment Estimator'!$A$10:$Z$224,Q$2,FALSE)=0,"",VLOOKUP($A134,'Pre-Assessment Estimator'!$A$10:$Z$224,Q$2,FALSE))</f>
        <v/>
      </c>
      <c r="R134" s="585" t="str">
        <f>IF(VLOOKUP($A134,'Pre-Assessment Estimator'!$A$10:$Z$224,R$2,FALSE)=0,"",VLOOKUP($A134,'Pre-Assessment Estimator'!$A$10:$Z$224,R$2,FALSE))</f>
        <v/>
      </c>
      <c r="S134" s="588"/>
      <c r="T134" s="587" t="str">
        <f>IF(VLOOKUP($A134,'Pre-Assessment Estimator'!$A$10:$Z$224,T$2,FALSE)=0,"",VLOOKUP($A134,'Pre-Assessment Estimator'!$A$10:$Z$224,T$2,FALSE))</f>
        <v/>
      </c>
      <c r="U134" s="582">
        <f>VLOOKUP($A134,'Pre-Assessment Estimator'!$A$10:$Z$224,U$2,FALSE)</f>
        <v>0</v>
      </c>
      <c r="V134" s="581" t="str">
        <f>VLOOKUP($A134,'Pre-Assessment Estimator'!$A$10:$Z$224,V$2,FALSE)</f>
        <v>N/A</v>
      </c>
      <c r="W134" s="584" t="str">
        <f>IF(VLOOKUP($A134,'Pre-Assessment Estimator'!$A$10:$Z$224,W$2,FALSE)=0,"",VLOOKUP($A134,'Pre-Assessment Estimator'!$A$10:$Z$224,W$2,FALSE))</f>
        <v/>
      </c>
      <c r="X134" s="584" t="str">
        <f>IF(VLOOKUP($A134,'Pre-Assessment Estimator'!$A$10:$Z$224,X$2,FALSE)=0,"",VLOOKUP($A134,'Pre-Assessment Estimator'!$A$10:$Z$224,X$2,FALSE))</f>
        <v/>
      </c>
      <c r="Y134" s="370" t="str">
        <f>IF(VLOOKUP($A134,'Pre-Assessment Estimator'!$A$10:$Z$224,Y$2,FALSE)=0,"",VLOOKUP($A134,'Pre-Assessment Estimator'!$A$10:$Z$224,Y$2,FALSE))</f>
        <v/>
      </c>
      <c r="Z134" s="705"/>
      <c r="AA134" s="584"/>
      <c r="AE134" s="386">
        <f t="shared" si="1"/>
        <v>1</v>
      </c>
      <c r="AF134" s="95" t="e">
        <f>VLOOKUP(J134,'Assessment Details'!$O$45:$P$48,2,FALSE)</f>
        <v>#N/A</v>
      </c>
      <c r="AG134" s="95" t="e">
        <f>VLOOKUP(Q134,'Assessment Details'!$O$45:$P$48,2,FALSE)</f>
        <v>#N/A</v>
      </c>
      <c r="AH134" s="95" t="e">
        <f>VLOOKUP(X134,'Assessment Details'!$O$45:$P$48,2,FALSE)</f>
        <v>#N/A</v>
      </c>
    </row>
    <row r="135" spans="1:34" x14ac:dyDescent="0.25">
      <c r="A135" s="836">
        <v>126</v>
      </c>
      <c r="B135" s="1262"/>
      <c r="C135" s="1262"/>
      <c r="D135" s="993" t="str">
        <f>VLOOKUP($A135,'Pre-Assessment Estimator'!$A$10:$Z$224,D$2,FALSE)</f>
        <v>Mat 06 Material efficiency</v>
      </c>
      <c r="E135" s="581">
        <f>VLOOKUP($A135,'Pre-Assessment Estimator'!$A$10:$Z$224,E$2,FALSE)</f>
        <v>3</v>
      </c>
      <c r="F135" s="587" t="str">
        <f>IF(VLOOKUP($A135,'Pre-Assessment Estimator'!$A$10:$Z$224,F$2,FALSE)=0,"",VLOOKUP($A135,'Pre-Assessment Estimator'!$A$10:$Z$224,F$2,FALSE))</f>
        <v/>
      </c>
      <c r="G135" s="1239" t="str">
        <f>VLOOKUP($A135,'Pre-Assessment Estimator'!$A$10:$Z$224,G$2,FALSE)</f>
        <v>0 c. 0 %</v>
      </c>
      <c r="H135" s="583" t="str">
        <f>VLOOKUP($A135,'Pre-Assessment Estimator'!$A$10:$Z$224,H$2,FALSE)</f>
        <v>N/A</v>
      </c>
      <c r="I135" s="584" t="str">
        <f>IF(VLOOKUP($A135,'Pre-Assessment Estimator'!$A$10:$Z$224,I$2,FALSE)=0,"",VLOOKUP($A135,'Pre-Assessment Estimator'!$A$10:$Z$224,I$2,FALSE))</f>
        <v/>
      </c>
      <c r="J135" s="584" t="str">
        <f>IF(VLOOKUP($A135,'Pre-Assessment Estimator'!$A$10:$Z$224,J$2,FALSE)=0,"",VLOOKUP($A135,'Pre-Assessment Estimator'!$A$10:$Z$224,J$2,FALSE))</f>
        <v/>
      </c>
      <c r="K135" s="585" t="str">
        <f>IF(VLOOKUP($A135,'Pre-Assessment Estimator'!$A$10:$Z$224,K$2,FALSE)=0,"",VLOOKUP($A135,'Pre-Assessment Estimator'!$A$10:$Z$224,K$2,FALSE))</f>
        <v/>
      </c>
      <c r="L135" s="586"/>
      <c r="M135" s="587" t="str">
        <f>IF(VLOOKUP($A135,'Pre-Assessment Estimator'!$A$10:$Z$224,M$2,FALSE)=0,"",VLOOKUP($A135,'Pre-Assessment Estimator'!$A$10:$Z$224,M$2,FALSE))</f>
        <v/>
      </c>
      <c r="N135" s="582" t="str">
        <f>VLOOKUP($A135,'Pre-Assessment Estimator'!$A$10:$Z$224,N$2,FALSE)</f>
        <v>0 c. 0 %</v>
      </c>
      <c r="O135" s="581" t="str">
        <f>VLOOKUP($A135,'Pre-Assessment Estimator'!$A$10:$Z$224,O$2,FALSE)</f>
        <v>N/A</v>
      </c>
      <c r="P135" s="584" t="str">
        <f>IF(VLOOKUP($A135,'Pre-Assessment Estimator'!$A$10:$Z$224,P$2,FALSE)=0,"",VLOOKUP($A135,'Pre-Assessment Estimator'!$A$10:$Z$224,P$2,FALSE))</f>
        <v/>
      </c>
      <c r="Q135" s="584" t="str">
        <f>IF(VLOOKUP($A135,'Pre-Assessment Estimator'!$A$10:$Z$224,Q$2,FALSE)=0,"",VLOOKUP($A135,'Pre-Assessment Estimator'!$A$10:$Z$224,Q$2,FALSE))</f>
        <v/>
      </c>
      <c r="R135" s="585" t="str">
        <f>IF(VLOOKUP($A135,'Pre-Assessment Estimator'!$A$10:$Z$224,R$2,FALSE)=0,"",VLOOKUP($A135,'Pre-Assessment Estimator'!$A$10:$Z$224,R$2,FALSE))</f>
        <v/>
      </c>
      <c r="S135" s="588"/>
      <c r="T135" s="587" t="str">
        <f>IF(VLOOKUP($A135,'Pre-Assessment Estimator'!$A$10:$Z$224,T$2,FALSE)=0,"",VLOOKUP($A135,'Pre-Assessment Estimator'!$A$10:$Z$224,T$2,FALSE))</f>
        <v/>
      </c>
      <c r="U135" s="582" t="str">
        <f>VLOOKUP($A135,'Pre-Assessment Estimator'!$A$10:$Z$224,U$2,FALSE)</f>
        <v>0 c. 0 %</v>
      </c>
      <c r="V135" s="581" t="str">
        <f>VLOOKUP($A135,'Pre-Assessment Estimator'!$A$10:$Z$224,V$2,FALSE)</f>
        <v>N/A</v>
      </c>
      <c r="W135" s="584" t="str">
        <f>IF(VLOOKUP($A135,'Pre-Assessment Estimator'!$A$10:$Z$224,W$2,FALSE)=0,"",VLOOKUP($A135,'Pre-Assessment Estimator'!$A$10:$Z$224,W$2,FALSE))</f>
        <v/>
      </c>
      <c r="X135" s="584" t="str">
        <f>IF(VLOOKUP($A135,'Pre-Assessment Estimator'!$A$10:$Z$224,X$2,FALSE)=0,"",VLOOKUP($A135,'Pre-Assessment Estimator'!$A$10:$Z$224,X$2,FALSE))</f>
        <v/>
      </c>
      <c r="Y135" s="370" t="str">
        <f>IF(VLOOKUP($A135,'Pre-Assessment Estimator'!$A$10:$Z$224,Y$2,FALSE)=0,"",VLOOKUP($A135,'Pre-Assessment Estimator'!$A$10:$Z$224,Y$2,FALSE))</f>
        <v/>
      </c>
      <c r="Z135" s="705"/>
      <c r="AA135" s="584"/>
      <c r="AE135" s="386">
        <f t="shared" si="1"/>
        <v>1</v>
      </c>
      <c r="AF135" s="95" t="e">
        <f>VLOOKUP(J135,'Assessment Details'!$O$45:$P$48,2,FALSE)</f>
        <v>#N/A</v>
      </c>
      <c r="AG135" s="95" t="e">
        <f>VLOOKUP(Q135,'Assessment Details'!$O$45:$P$48,2,FALSE)</f>
        <v>#N/A</v>
      </c>
      <c r="AH135" s="95" t="e">
        <f>VLOOKUP(X135,'Assessment Details'!$O$45:$P$48,2,FALSE)</f>
        <v>#N/A</v>
      </c>
    </row>
    <row r="136" spans="1:34" ht="30" x14ac:dyDescent="0.25">
      <c r="A136" s="836">
        <v>127</v>
      </c>
      <c r="B136" s="1262"/>
      <c r="C136" s="1262"/>
      <c r="D136" s="340" t="str">
        <f>VLOOKUP($A136,'Pre-Assessment Estimator'!$A$10:$Z$224,D$2,FALSE)</f>
        <v>Minimum req: mapping for component reuse  - criterion 1</v>
      </c>
      <c r="E136" s="581" t="str">
        <f>VLOOKUP($A136,'Pre-Assessment Estimator'!$A$10:$Z$224,E$2,FALSE)</f>
        <v>Yes/No</v>
      </c>
      <c r="F136" s="587" t="str">
        <f>IF(VLOOKUP($A136,'Pre-Assessment Estimator'!$A$10:$Z$224,F$2,FALSE)=0,"",VLOOKUP($A136,'Pre-Assessment Estimator'!$A$10:$Z$224,F$2,FALSE))</f>
        <v/>
      </c>
      <c r="G136" s="1239" t="str">
        <f>VLOOKUP($A136,'Pre-Assessment Estimator'!$A$10:$Z$224,G$2,FALSE)</f>
        <v>-</v>
      </c>
      <c r="H136" s="583" t="str">
        <f>VLOOKUP($A136,'Pre-Assessment Estimator'!$A$10:$Z$224,H$2,FALSE)</f>
        <v>Unclassified</v>
      </c>
      <c r="I136" s="584" t="str">
        <f>IF(VLOOKUP($A136,'Pre-Assessment Estimator'!$A$10:$Z$224,I$2,FALSE)=0,"",VLOOKUP($A136,'Pre-Assessment Estimator'!$A$10:$Z$224,I$2,FALSE))</f>
        <v/>
      </c>
      <c r="J136" s="584" t="str">
        <f>IF(VLOOKUP($A136,'Pre-Assessment Estimator'!$A$10:$Z$224,J$2,FALSE)=0,"",VLOOKUP($A136,'Pre-Assessment Estimator'!$A$10:$Z$224,J$2,FALSE))</f>
        <v/>
      </c>
      <c r="K136" s="585" t="str">
        <f>IF(VLOOKUP($A136,'Pre-Assessment Estimator'!$A$10:$Z$224,K$2,FALSE)=0,"",VLOOKUP($A136,'Pre-Assessment Estimator'!$A$10:$Z$224,K$2,FALSE))</f>
        <v/>
      </c>
      <c r="L136" s="586"/>
      <c r="M136" s="587" t="str">
        <f>IF(VLOOKUP($A136,'Pre-Assessment Estimator'!$A$10:$Z$224,M$2,FALSE)=0,"",VLOOKUP($A136,'Pre-Assessment Estimator'!$A$10:$Z$224,M$2,FALSE))</f>
        <v/>
      </c>
      <c r="N136" s="582" t="str">
        <f>VLOOKUP($A136,'Pre-Assessment Estimator'!$A$10:$Z$224,N$2,FALSE)</f>
        <v>-</v>
      </c>
      <c r="O136" s="581" t="str">
        <f>VLOOKUP($A136,'Pre-Assessment Estimator'!$A$10:$Z$224,O$2,FALSE)</f>
        <v>Unclassified</v>
      </c>
      <c r="P136" s="584" t="str">
        <f>IF(VLOOKUP($A136,'Pre-Assessment Estimator'!$A$10:$Z$224,P$2,FALSE)=0,"",VLOOKUP($A136,'Pre-Assessment Estimator'!$A$10:$Z$224,P$2,FALSE))</f>
        <v/>
      </c>
      <c r="Q136" s="584" t="str">
        <f>IF(VLOOKUP($A136,'Pre-Assessment Estimator'!$A$10:$Z$224,Q$2,FALSE)=0,"",VLOOKUP($A136,'Pre-Assessment Estimator'!$A$10:$Z$224,Q$2,FALSE))</f>
        <v/>
      </c>
      <c r="R136" s="585" t="str">
        <f>IF(VLOOKUP($A136,'Pre-Assessment Estimator'!$A$10:$Z$224,R$2,FALSE)=0,"",VLOOKUP($A136,'Pre-Assessment Estimator'!$A$10:$Z$224,R$2,FALSE))</f>
        <v/>
      </c>
      <c r="S136" s="588"/>
      <c r="T136" s="587" t="str">
        <f>IF(VLOOKUP($A136,'Pre-Assessment Estimator'!$A$10:$Z$224,T$2,FALSE)=0,"",VLOOKUP($A136,'Pre-Assessment Estimator'!$A$10:$Z$224,T$2,FALSE))</f>
        <v/>
      </c>
      <c r="U136" s="582" t="str">
        <f>VLOOKUP($A136,'Pre-Assessment Estimator'!$A$10:$Z$224,U$2,FALSE)</f>
        <v>-</v>
      </c>
      <c r="V136" s="581" t="str">
        <f>VLOOKUP($A136,'Pre-Assessment Estimator'!$A$10:$Z$224,V$2,FALSE)</f>
        <v>Unclassified</v>
      </c>
      <c r="W136" s="584" t="str">
        <f>IF(VLOOKUP($A136,'Pre-Assessment Estimator'!$A$10:$Z$224,W$2,FALSE)=0,"",VLOOKUP($A136,'Pre-Assessment Estimator'!$A$10:$Z$224,W$2,FALSE))</f>
        <v/>
      </c>
      <c r="X136" s="584" t="str">
        <f>IF(VLOOKUP($A136,'Pre-Assessment Estimator'!$A$10:$Z$224,X$2,FALSE)=0,"",VLOOKUP($A136,'Pre-Assessment Estimator'!$A$10:$Z$224,X$2,FALSE))</f>
        <v/>
      </c>
      <c r="Y136" s="370" t="str">
        <f>IF(VLOOKUP($A136,'Pre-Assessment Estimator'!$A$10:$Z$224,Y$2,FALSE)=0,"",VLOOKUP($A136,'Pre-Assessment Estimator'!$A$10:$Z$224,Y$2,FALSE))</f>
        <v/>
      </c>
      <c r="Z136" s="705"/>
      <c r="AA136" s="584"/>
      <c r="AE136" s="386">
        <f t="shared" si="1"/>
        <v>1</v>
      </c>
      <c r="AF136" s="95" t="e">
        <f>VLOOKUP(J136,'Assessment Details'!$O$45:$P$48,2,FALSE)</f>
        <v>#N/A</v>
      </c>
      <c r="AG136" s="95" t="e">
        <f>VLOOKUP(Q136,'Assessment Details'!$O$45:$P$48,2,FALSE)</f>
        <v>#N/A</v>
      </c>
      <c r="AH136" s="95" t="e">
        <f>VLOOKUP(X136,'Assessment Details'!$O$45:$P$48,2,FALSE)</f>
        <v>#N/A</v>
      </c>
    </row>
    <row r="137" spans="1:34" x14ac:dyDescent="0.25">
      <c r="A137" s="836">
        <v>128</v>
      </c>
      <c r="B137" s="1262"/>
      <c r="C137" s="1262"/>
      <c r="D137" s="340" t="str">
        <f>VLOOKUP($A137,'Pre-Assessment Estimator'!$A$10:$Z$224,D$2,FALSE)</f>
        <v>Mapping for component reuse and implementation</v>
      </c>
      <c r="E137" s="581">
        <f>VLOOKUP($A137,'Pre-Assessment Estimator'!$A$10:$Z$224,E$2,FALSE)</f>
        <v>1</v>
      </c>
      <c r="F137" s="587" t="str">
        <f>IF(VLOOKUP($A137,'Pre-Assessment Estimator'!$A$10:$Z$224,F$2,FALSE)=0,"",VLOOKUP($A137,'Pre-Assessment Estimator'!$A$10:$Z$224,F$2,FALSE))</f>
        <v/>
      </c>
      <c r="G137" s="1239">
        <f>VLOOKUP($A137,'Pre-Assessment Estimator'!$A$10:$Z$224,G$2,FALSE)</f>
        <v>0</v>
      </c>
      <c r="H137" s="583" t="str">
        <f>VLOOKUP($A137,'Pre-Assessment Estimator'!$A$10:$Z$224,H$2,FALSE)</f>
        <v>Unclassified</v>
      </c>
      <c r="I137" s="584" t="str">
        <f>IF(VLOOKUP($A137,'Pre-Assessment Estimator'!$A$10:$Z$224,I$2,FALSE)=0,"",VLOOKUP($A137,'Pre-Assessment Estimator'!$A$10:$Z$224,I$2,FALSE))</f>
        <v/>
      </c>
      <c r="J137" s="584" t="str">
        <f>IF(VLOOKUP($A137,'Pre-Assessment Estimator'!$A$10:$Z$224,J$2,FALSE)=0,"",VLOOKUP($A137,'Pre-Assessment Estimator'!$A$10:$Z$224,J$2,FALSE))</f>
        <v/>
      </c>
      <c r="K137" s="585" t="str">
        <f>IF(VLOOKUP($A137,'Pre-Assessment Estimator'!$A$10:$Z$224,K$2,FALSE)=0,"",VLOOKUP($A137,'Pre-Assessment Estimator'!$A$10:$Z$224,K$2,FALSE))</f>
        <v/>
      </c>
      <c r="L137" s="586"/>
      <c r="M137" s="587" t="str">
        <f>IF(VLOOKUP($A137,'Pre-Assessment Estimator'!$A$10:$Z$224,M$2,FALSE)=0,"",VLOOKUP($A137,'Pre-Assessment Estimator'!$A$10:$Z$224,M$2,FALSE))</f>
        <v/>
      </c>
      <c r="N137" s="582">
        <f>VLOOKUP($A137,'Pre-Assessment Estimator'!$A$10:$Z$224,N$2,FALSE)</f>
        <v>0</v>
      </c>
      <c r="O137" s="581" t="str">
        <f>VLOOKUP($A137,'Pre-Assessment Estimator'!$A$10:$Z$224,O$2,FALSE)</f>
        <v>Unclassified</v>
      </c>
      <c r="P137" s="584" t="str">
        <f>IF(VLOOKUP($A137,'Pre-Assessment Estimator'!$A$10:$Z$224,P$2,FALSE)=0,"",VLOOKUP($A137,'Pre-Assessment Estimator'!$A$10:$Z$224,P$2,FALSE))</f>
        <v/>
      </c>
      <c r="Q137" s="584" t="str">
        <f>IF(VLOOKUP($A137,'Pre-Assessment Estimator'!$A$10:$Z$224,Q$2,FALSE)=0,"",VLOOKUP($A137,'Pre-Assessment Estimator'!$A$10:$Z$224,Q$2,FALSE))</f>
        <v/>
      </c>
      <c r="R137" s="585" t="str">
        <f>IF(VLOOKUP($A137,'Pre-Assessment Estimator'!$A$10:$Z$224,R$2,FALSE)=0,"",VLOOKUP($A137,'Pre-Assessment Estimator'!$A$10:$Z$224,R$2,FALSE))</f>
        <v/>
      </c>
      <c r="S137" s="588"/>
      <c r="T137" s="587" t="str">
        <f>IF(VLOOKUP($A137,'Pre-Assessment Estimator'!$A$10:$Z$224,T$2,FALSE)=0,"",VLOOKUP($A137,'Pre-Assessment Estimator'!$A$10:$Z$224,T$2,FALSE))</f>
        <v/>
      </c>
      <c r="U137" s="582">
        <f>VLOOKUP($A137,'Pre-Assessment Estimator'!$A$10:$Z$224,U$2,FALSE)</f>
        <v>0</v>
      </c>
      <c r="V137" s="581" t="str">
        <f>VLOOKUP($A137,'Pre-Assessment Estimator'!$A$10:$Z$224,V$2,FALSE)</f>
        <v>Unclassified</v>
      </c>
      <c r="W137" s="584" t="str">
        <f>IF(VLOOKUP($A137,'Pre-Assessment Estimator'!$A$10:$Z$224,W$2,FALSE)=0,"",VLOOKUP($A137,'Pre-Assessment Estimator'!$A$10:$Z$224,W$2,FALSE))</f>
        <v/>
      </c>
      <c r="X137" s="584" t="str">
        <f>IF(VLOOKUP($A137,'Pre-Assessment Estimator'!$A$10:$Z$224,X$2,FALSE)=0,"",VLOOKUP($A137,'Pre-Assessment Estimator'!$A$10:$Z$224,X$2,FALSE))</f>
        <v/>
      </c>
      <c r="Y137" s="370" t="str">
        <f>IF(VLOOKUP($A137,'Pre-Assessment Estimator'!$A$10:$Z$224,Y$2,FALSE)=0,"",VLOOKUP($A137,'Pre-Assessment Estimator'!$A$10:$Z$224,Y$2,FALSE))</f>
        <v/>
      </c>
      <c r="Z137" s="705"/>
      <c r="AA137" s="584"/>
      <c r="AE137" s="386">
        <f t="shared" si="1"/>
        <v>1</v>
      </c>
      <c r="AF137" s="95" t="e">
        <f>VLOOKUP(J137,'Assessment Details'!$O$45:$P$48,2,FALSE)</f>
        <v>#N/A</v>
      </c>
      <c r="AG137" s="95" t="e">
        <f>VLOOKUP(Q137,'Assessment Details'!$O$45:$P$48,2,FALSE)</f>
        <v>#N/A</v>
      </c>
      <c r="AH137" s="95" t="e">
        <f>VLOOKUP(X137,'Assessment Details'!$O$45:$P$48,2,FALSE)</f>
        <v>#N/A</v>
      </c>
    </row>
    <row r="138" spans="1:34" x14ac:dyDescent="0.25">
      <c r="A138" s="836">
        <v>129</v>
      </c>
      <c r="B138" s="1262" t="s">
        <v>70</v>
      </c>
      <c r="C138" s="1262"/>
      <c r="D138" s="340" t="str">
        <f>VLOOKUP($A138,'Pre-Assessment Estimator'!$A$10:$Z$224,D$2,FALSE)</f>
        <v>Material efficency</v>
      </c>
      <c r="E138" s="581">
        <f>VLOOKUP($A138,'Pre-Assessment Estimator'!$A$10:$Z$224,E$2,FALSE)</f>
        <v>1</v>
      </c>
      <c r="F138" s="587" t="str">
        <f>IF(VLOOKUP($A138,'Pre-Assessment Estimator'!$A$10:$Z$224,F$2,FALSE)=0,"",VLOOKUP($A138,'Pre-Assessment Estimator'!$A$10:$Z$224,F$2,FALSE))</f>
        <v/>
      </c>
      <c r="G138" s="1239">
        <f>VLOOKUP($A138,'Pre-Assessment Estimator'!$A$10:$Z$224,G$2,FALSE)</f>
        <v>0</v>
      </c>
      <c r="H138" s="583" t="str">
        <f>VLOOKUP($A138,'Pre-Assessment Estimator'!$A$10:$Z$224,H$2,FALSE)</f>
        <v>N/A</v>
      </c>
      <c r="I138" s="584" t="str">
        <f>IF(VLOOKUP($A138,'Pre-Assessment Estimator'!$A$10:$Z$224,I$2,FALSE)=0,"",VLOOKUP($A138,'Pre-Assessment Estimator'!$A$10:$Z$224,I$2,FALSE))</f>
        <v/>
      </c>
      <c r="J138" s="584" t="str">
        <f>IF(VLOOKUP($A138,'Pre-Assessment Estimator'!$A$10:$Z$224,J$2,FALSE)=0,"",VLOOKUP($A138,'Pre-Assessment Estimator'!$A$10:$Z$224,J$2,FALSE))</f>
        <v/>
      </c>
      <c r="K138" s="585" t="str">
        <f>IF(VLOOKUP($A138,'Pre-Assessment Estimator'!$A$10:$Z$224,K$2,FALSE)=0,"",VLOOKUP($A138,'Pre-Assessment Estimator'!$A$10:$Z$224,K$2,FALSE))</f>
        <v/>
      </c>
      <c r="L138" s="586"/>
      <c r="M138" s="587" t="str">
        <f>IF(VLOOKUP($A138,'Pre-Assessment Estimator'!$A$10:$Z$224,M$2,FALSE)=0,"",VLOOKUP($A138,'Pre-Assessment Estimator'!$A$10:$Z$224,M$2,FALSE))</f>
        <v/>
      </c>
      <c r="N138" s="582">
        <f>VLOOKUP($A138,'Pre-Assessment Estimator'!$A$10:$Z$224,N$2,FALSE)</f>
        <v>0</v>
      </c>
      <c r="O138" s="581" t="str">
        <f>VLOOKUP($A138,'Pre-Assessment Estimator'!$A$10:$Z$224,O$2,FALSE)</f>
        <v>N/A</v>
      </c>
      <c r="P138" s="584" t="str">
        <f>IF(VLOOKUP($A138,'Pre-Assessment Estimator'!$A$10:$Z$224,P$2,FALSE)=0,"",VLOOKUP($A138,'Pre-Assessment Estimator'!$A$10:$Z$224,P$2,FALSE))</f>
        <v/>
      </c>
      <c r="Q138" s="584" t="str">
        <f>IF(VLOOKUP($A138,'Pre-Assessment Estimator'!$A$10:$Z$224,Q$2,FALSE)=0,"",VLOOKUP($A138,'Pre-Assessment Estimator'!$A$10:$Z$224,Q$2,FALSE))</f>
        <v/>
      </c>
      <c r="R138" s="585" t="str">
        <f>IF(VLOOKUP($A138,'Pre-Assessment Estimator'!$A$10:$Z$224,R$2,FALSE)=0,"",VLOOKUP($A138,'Pre-Assessment Estimator'!$A$10:$Z$224,R$2,FALSE))</f>
        <v/>
      </c>
      <c r="S138" s="588"/>
      <c r="T138" s="587" t="str">
        <f>IF(VLOOKUP($A138,'Pre-Assessment Estimator'!$A$10:$Z$224,T$2,FALSE)=0,"",VLOOKUP($A138,'Pre-Assessment Estimator'!$A$10:$Z$224,T$2,FALSE))</f>
        <v/>
      </c>
      <c r="U138" s="582">
        <f>VLOOKUP($A138,'Pre-Assessment Estimator'!$A$10:$Z$224,U$2,FALSE)</f>
        <v>0</v>
      </c>
      <c r="V138" s="581" t="str">
        <f>VLOOKUP($A138,'Pre-Assessment Estimator'!$A$10:$Z$224,V$2,FALSE)</f>
        <v>N/A</v>
      </c>
      <c r="W138" s="584" t="str">
        <f>IF(VLOOKUP($A138,'Pre-Assessment Estimator'!$A$10:$Z$224,W$2,FALSE)=0,"",VLOOKUP($A138,'Pre-Assessment Estimator'!$A$10:$Z$224,W$2,FALSE))</f>
        <v/>
      </c>
      <c r="X138" s="584" t="str">
        <f>IF(VLOOKUP($A138,'Pre-Assessment Estimator'!$A$10:$Z$224,X$2,FALSE)=0,"",VLOOKUP($A138,'Pre-Assessment Estimator'!$A$10:$Z$224,X$2,FALSE))</f>
        <v/>
      </c>
      <c r="Y138" s="370" t="str">
        <f>IF(VLOOKUP($A138,'Pre-Assessment Estimator'!$A$10:$Z$224,Y$2,FALSE)=0,"",VLOOKUP($A138,'Pre-Assessment Estimator'!$A$10:$Z$224,Y$2,FALSE))</f>
        <v/>
      </c>
      <c r="Z138" s="705"/>
      <c r="AA138" s="584" t="str">
        <f>IF(VLOOKUP($A138,'Pre-Assessment Estimator'!$A$10:$AB$224,AA$2,FALSE)=0,"",VLOOKUP($A138,'Pre-Assessment Estimator'!$A$10:$AB$224,AA$2,FALSE))</f>
        <v/>
      </c>
      <c r="AE138" s="386">
        <f t="shared" si="1"/>
        <v>1</v>
      </c>
      <c r="AF138" s="95" t="e">
        <f>VLOOKUP(J138,'Assessment Details'!$O$45:$P$48,2,FALSE)</f>
        <v>#N/A</v>
      </c>
      <c r="AG138" s="95" t="e">
        <f>VLOOKUP(Q138,'Assessment Details'!$O$45:$P$48,2,FALSE)</f>
        <v>#N/A</v>
      </c>
      <c r="AH138" s="95" t="e">
        <f>VLOOKUP(X138,'Assessment Details'!$O$45:$P$48,2,FALSE)</f>
        <v>#N/A</v>
      </c>
    </row>
    <row r="139" spans="1:34" x14ac:dyDescent="0.25">
      <c r="A139" s="836">
        <v>130</v>
      </c>
      <c r="B139" s="1262" t="s">
        <v>70</v>
      </c>
      <c r="C139" s="1262"/>
      <c r="D139" s="340" t="str">
        <f>VLOOKUP($A139,'Pre-Assessment Estimator'!$A$10:$Z$224,D$2,FALSE)</f>
        <v>Reuse of extern building components</v>
      </c>
      <c r="E139" s="581">
        <f>VLOOKUP($A139,'Pre-Assessment Estimator'!$A$10:$Z$224,E$2,FALSE)</f>
        <v>1</v>
      </c>
      <c r="F139" s="587" t="str">
        <f>IF(VLOOKUP($A139,'Pre-Assessment Estimator'!$A$10:$Z$224,F$2,FALSE)=0,"",VLOOKUP($A139,'Pre-Assessment Estimator'!$A$10:$Z$224,F$2,FALSE))</f>
        <v/>
      </c>
      <c r="G139" s="1239">
        <f>VLOOKUP($A139,'Pre-Assessment Estimator'!$A$10:$Z$224,G$2,FALSE)</f>
        <v>0</v>
      </c>
      <c r="H139" s="583" t="str">
        <f>VLOOKUP($A139,'Pre-Assessment Estimator'!$A$10:$Z$224,H$2,FALSE)</f>
        <v>N/A</v>
      </c>
      <c r="I139" s="584" t="str">
        <f>IF(VLOOKUP($A139,'Pre-Assessment Estimator'!$A$10:$Z$224,I$2,FALSE)=0,"",VLOOKUP($A139,'Pre-Assessment Estimator'!$A$10:$Z$224,I$2,FALSE))</f>
        <v/>
      </c>
      <c r="J139" s="584" t="str">
        <f>IF(VLOOKUP($A139,'Pre-Assessment Estimator'!$A$10:$Z$224,J$2,FALSE)=0,"",VLOOKUP($A139,'Pre-Assessment Estimator'!$A$10:$Z$224,J$2,FALSE))</f>
        <v/>
      </c>
      <c r="K139" s="585" t="str">
        <f>IF(VLOOKUP($A139,'Pre-Assessment Estimator'!$A$10:$Z$224,K$2,FALSE)=0,"",VLOOKUP($A139,'Pre-Assessment Estimator'!$A$10:$Z$224,K$2,FALSE))</f>
        <v/>
      </c>
      <c r="L139" s="586"/>
      <c r="M139" s="587" t="str">
        <f>IF(VLOOKUP($A139,'Pre-Assessment Estimator'!$A$10:$Z$224,M$2,FALSE)=0,"",VLOOKUP($A139,'Pre-Assessment Estimator'!$A$10:$Z$224,M$2,FALSE))</f>
        <v/>
      </c>
      <c r="N139" s="582">
        <f>VLOOKUP($A139,'Pre-Assessment Estimator'!$A$10:$Z$224,N$2,FALSE)</f>
        <v>0</v>
      </c>
      <c r="O139" s="581" t="str">
        <f>VLOOKUP($A139,'Pre-Assessment Estimator'!$A$10:$Z$224,O$2,FALSE)</f>
        <v>N/A</v>
      </c>
      <c r="P139" s="584" t="str">
        <f>IF(VLOOKUP($A139,'Pre-Assessment Estimator'!$A$10:$Z$224,P$2,FALSE)=0,"",VLOOKUP($A139,'Pre-Assessment Estimator'!$A$10:$Z$224,P$2,FALSE))</f>
        <v/>
      </c>
      <c r="Q139" s="584" t="str">
        <f>IF(VLOOKUP($A139,'Pre-Assessment Estimator'!$A$10:$Z$224,Q$2,FALSE)=0,"",VLOOKUP($A139,'Pre-Assessment Estimator'!$A$10:$Z$224,Q$2,FALSE))</f>
        <v/>
      </c>
      <c r="R139" s="585" t="str">
        <f>IF(VLOOKUP($A139,'Pre-Assessment Estimator'!$A$10:$Z$224,R$2,FALSE)=0,"",VLOOKUP($A139,'Pre-Assessment Estimator'!$A$10:$Z$224,R$2,FALSE))</f>
        <v/>
      </c>
      <c r="S139" s="588"/>
      <c r="T139" s="587" t="str">
        <f>IF(VLOOKUP($A139,'Pre-Assessment Estimator'!$A$10:$Z$224,T$2,FALSE)=0,"",VLOOKUP($A139,'Pre-Assessment Estimator'!$A$10:$Z$224,T$2,FALSE))</f>
        <v/>
      </c>
      <c r="U139" s="582">
        <f>VLOOKUP($A139,'Pre-Assessment Estimator'!$A$10:$Z$224,U$2,FALSE)</f>
        <v>0</v>
      </c>
      <c r="V139" s="581" t="str">
        <f>VLOOKUP($A139,'Pre-Assessment Estimator'!$A$10:$Z$224,V$2,FALSE)</f>
        <v>N/A</v>
      </c>
      <c r="W139" s="584" t="str">
        <f>IF(VLOOKUP($A139,'Pre-Assessment Estimator'!$A$10:$Z$224,W$2,FALSE)=0,"",VLOOKUP($A139,'Pre-Assessment Estimator'!$A$10:$Z$224,W$2,FALSE))</f>
        <v/>
      </c>
      <c r="X139" s="584" t="str">
        <f>IF(VLOOKUP($A139,'Pre-Assessment Estimator'!$A$10:$Z$224,X$2,FALSE)=0,"",VLOOKUP($A139,'Pre-Assessment Estimator'!$A$10:$Z$224,X$2,FALSE))</f>
        <v/>
      </c>
      <c r="Y139" s="370" t="str">
        <f>IF(VLOOKUP($A139,'Pre-Assessment Estimator'!$A$10:$Z$224,Y$2,FALSE)=0,"",VLOOKUP($A139,'Pre-Assessment Estimator'!$A$10:$Z$224,Y$2,FALSE))</f>
        <v/>
      </c>
      <c r="Z139" s="705"/>
      <c r="AA139" s="584" t="str">
        <f>IF(VLOOKUP($A139,'Pre-Assessment Estimator'!$A$10:$AB$224,AA$2,FALSE)=0,"",VLOOKUP($A139,'Pre-Assessment Estimator'!$A$10:$AB$224,AA$2,FALSE))</f>
        <v/>
      </c>
      <c r="AE139" s="386">
        <f t="shared" si="1"/>
        <v>1</v>
      </c>
      <c r="AF139" s="95" t="e">
        <f>VLOOKUP(J139,'Assessment Details'!$O$45:$P$48,2,FALSE)</f>
        <v>#N/A</v>
      </c>
      <c r="AG139" s="95" t="e">
        <f>VLOOKUP(Q139,'Assessment Details'!$O$45:$P$48,2,FALSE)</f>
        <v>#N/A</v>
      </c>
      <c r="AH139" s="95" t="e">
        <f>VLOOKUP(X139,'Assessment Details'!$O$45:$P$48,2,FALSE)</f>
        <v>#N/A</v>
      </c>
    </row>
    <row r="140" spans="1:34" x14ac:dyDescent="0.25">
      <c r="A140" s="836">
        <v>131</v>
      </c>
      <c r="B140" s="1262"/>
      <c r="C140" s="1262"/>
      <c r="D140" s="993" t="str">
        <f>VLOOKUP($A140,'Pre-Assessment Estimator'!$A$10:$Z$224,D$2,FALSE)</f>
        <v>Mat 07 Design for disassembly and adaptability</v>
      </c>
      <c r="E140" s="581">
        <f>VLOOKUP($A140,'Pre-Assessment Estimator'!$A$10:$Z$224,E$2,FALSE)</f>
        <v>3</v>
      </c>
      <c r="F140" s="587" t="str">
        <f>IF(VLOOKUP($A140,'Pre-Assessment Estimator'!$A$10:$Z$224,F$2,FALSE)=0,"",VLOOKUP($A140,'Pre-Assessment Estimator'!$A$10:$Z$224,F$2,FALSE))</f>
        <v/>
      </c>
      <c r="G140" s="1239" t="str">
        <f>VLOOKUP($A140,'Pre-Assessment Estimator'!$A$10:$Z$224,G$2,FALSE)</f>
        <v>0 c. 0 %</v>
      </c>
      <c r="H140" s="583" t="str">
        <f>VLOOKUP($A140,'Pre-Assessment Estimator'!$A$10:$Z$224,H$2,FALSE)</f>
        <v>N/A</v>
      </c>
      <c r="I140" s="584" t="str">
        <f>IF(VLOOKUP($A140,'Pre-Assessment Estimator'!$A$10:$Z$224,I$2,FALSE)=0,"",VLOOKUP($A140,'Pre-Assessment Estimator'!$A$10:$Z$224,I$2,FALSE))</f>
        <v/>
      </c>
      <c r="J140" s="584" t="str">
        <f>IF(VLOOKUP($A140,'Pre-Assessment Estimator'!$A$10:$Z$224,J$2,FALSE)=0,"",VLOOKUP($A140,'Pre-Assessment Estimator'!$A$10:$Z$224,J$2,FALSE))</f>
        <v/>
      </c>
      <c r="K140" s="585" t="str">
        <f>IF(VLOOKUP($A140,'Pre-Assessment Estimator'!$A$10:$Z$224,K$2,FALSE)=0,"",VLOOKUP($A140,'Pre-Assessment Estimator'!$A$10:$Z$224,K$2,FALSE))</f>
        <v/>
      </c>
      <c r="L140" s="586"/>
      <c r="M140" s="587" t="str">
        <f>IF(VLOOKUP($A140,'Pre-Assessment Estimator'!$A$10:$Z$224,M$2,FALSE)=0,"",VLOOKUP($A140,'Pre-Assessment Estimator'!$A$10:$Z$224,M$2,FALSE))</f>
        <v/>
      </c>
      <c r="N140" s="582" t="str">
        <f>VLOOKUP($A140,'Pre-Assessment Estimator'!$A$10:$Z$224,N$2,FALSE)</f>
        <v>0 c. 0 %</v>
      </c>
      <c r="O140" s="581" t="str">
        <f>VLOOKUP($A140,'Pre-Assessment Estimator'!$A$10:$Z$224,O$2,FALSE)</f>
        <v>N/A</v>
      </c>
      <c r="P140" s="584" t="str">
        <f>IF(VLOOKUP($A140,'Pre-Assessment Estimator'!$A$10:$Z$224,P$2,FALSE)=0,"",VLOOKUP($A140,'Pre-Assessment Estimator'!$A$10:$Z$224,P$2,FALSE))</f>
        <v/>
      </c>
      <c r="Q140" s="584" t="str">
        <f>IF(VLOOKUP($A140,'Pre-Assessment Estimator'!$A$10:$Z$224,Q$2,FALSE)=0,"",VLOOKUP($A140,'Pre-Assessment Estimator'!$A$10:$Z$224,Q$2,FALSE))</f>
        <v/>
      </c>
      <c r="R140" s="585" t="str">
        <f>IF(VLOOKUP($A140,'Pre-Assessment Estimator'!$A$10:$Z$224,R$2,FALSE)=0,"",VLOOKUP($A140,'Pre-Assessment Estimator'!$A$10:$Z$224,R$2,FALSE))</f>
        <v/>
      </c>
      <c r="S140" s="588"/>
      <c r="T140" s="587" t="str">
        <f>IF(VLOOKUP($A140,'Pre-Assessment Estimator'!$A$10:$Z$224,T$2,FALSE)=0,"",VLOOKUP($A140,'Pre-Assessment Estimator'!$A$10:$Z$224,T$2,FALSE))</f>
        <v/>
      </c>
      <c r="U140" s="582" t="str">
        <f>VLOOKUP($A140,'Pre-Assessment Estimator'!$A$10:$Z$224,U$2,FALSE)</f>
        <v>0 c. 0 %</v>
      </c>
      <c r="V140" s="581" t="str">
        <f>VLOOKUP($A140,'Pre-Assessment Estimator'!$A$10:$Z$224,V$2,FALSE)</f>
        <v>N/A</v>
      </c>
      <c r="W140" s="584" t="str">
        <f>IF(VLOOKUP($A140,'Pre-Assessment Estimator'!$A$10:$Z$224,W$2,FALSE)=0,"",VLOOKUP($A140,'Pre-Assessment Estimator'!$A$10:$Z$224,W$2,FALSE))</f>
        <v/>
      </c>
      <c r="X140" s="584" t="str">
        <f>IF(VLOOKUP($A140,'Pre-Assessment Estimator'!$A$10:$Z$224,X$2,FALSE)=0,"",VLOOKUP($A140,'Pre-Assessment Estimator'!$A$10:$Z$224,X$2,FALSE))</f>
        <v/>
      </c>
      <c r="Y140" s="370" t="str">
        <f>IF(VLOOKUP($A140,'Pre-Assessment Estimator'!$A$10:$Z$224,Y$2,FALSE)=0,"",VLOOKUP($A140,'Pre-Assessment Estimator'!$A$10:$Z$224,Y$2,FALSE))</f>
        <v/>
      </c>
      <c r="Z140" s="705"/>
      <c r="AA140" s="584"/>
      <c r="AE140" s="386">
        <f t="shared" si="1"/>
        <v>1</v>
      </c>
      <c r="AF140" s="95" t="e">
        <f>VLOOKUP(J140,'Assessment Details'!$O$45:$P$48,2,FALSE)</f>
        <v>#N/A</v>
      </c>
      <c r="AG140" s="95" t="e">
        <f>VLOOKUP(Q140,'Assessment Details'!$O$45:$P$48,2,FALSE)</f>
        <v>#N/A</v>
      </c>
      <c r="AH140" s="95" t="e">
        <f>VLOOKUP(X140,'Assessment Details'!$O$45:$P$48,2,FALSE)</f>
        <v>#N/A</v>
      </c>
    </row>
    <row r="141" spans="1:34" x14ac:dyDescent="0.25">
      <c r="A141" s="836">
        <v>132</v>
      </c>
      <c r="B141" s="1262"/>
      <c r="C141" s="1262"/>
      <c r="D141" s="340" t="str">
        <f>VLOOKUP($A141,'Pre-Assessment Estimator'!$A$10:$Z$224,D$2,FALSE)</f>
        <v>Resource inventory</v>
      </c>
      <c r="E141" s="581">
        <f>VLOOKUP($A141,'Pre-Assessment Estimator'!$A$10:$Z$224,E$2,FALSE)</f>
        <v>1</v>
      </c>
      <c r="F141" s="587" t="str">
        <f>IF(VLOOKUP($A141,'Pre-Assessment Estimator'!$A$10:$Z$224,F$2,FALSE)=0,"",VLOOKUP($A141,'Pre-Assessment Estimator'!$A$10:$Z$224,F$2,FALSE))</f>
        <v/>
      </c>
      <c r="G141" s="1239">
        <f>VLOOKUP($A141,'Pre-Assessment Estimator'!$A$10:$Z$224,G$2,FALSE)</f>
        <v>0</v>
      </c>
      <c r="H141" s="583" t="str">
        <f>VLOOKUP($A141,'Pre-Assessment Estimator'!$A$10:$Z$224,H$2,FALSE)</f>
        <v>N/A</v>
      </c>
      <c r="I141" s="584" t="str">
        <f>IF(VLOOKUP($A141,'Pre-Assessment Estimator'!$A$10:$Z$224,I$2,FALSE)=0,"",VLOOKUP($A141,'Pre-Assessment Estimator'!$A$10:$Z$224,I$2,FALSE))</f>
        <v/>
      </c>
      <c r="J141" s="584" t="str">
        <f>IF(VLOOKUP($A141,'Pre-Assessment Estimator'!$A$10:$Z$224,J$2,FALSE)=0,"",VLOOKUP($A141,'Pre-Assessment Estimator'!$A$10:$Z$224,J$2,FALSE))</f>
        <v/>
      </c>
      <c r="K141" s="585" t="str">
        <f>IF(VLOOKUP($A141,'Pre-Assessment Estimator'!$A$10:$Z$224,K$2,FALSE)=0,"",VLOOKUP($A141,'Pre-Assessment Estimator'!$A$10:$Z$224,K$2,FALSE))</f>
        <v/>
      </c>
      <c r="L141" s="586"/>
      <c r="M141" s="587" t="str">
        <f>IF(VLOOKUP($A141,'Pre-Assessment Estimator'!$A$10:$Z$224,M$2,FALSE)=0,"",VLOOKUP($A141,'Pre-Assessment Estimator'!$A$10:$Z$224,M$2,FALSE))</f>
        <v/>
      </c>
      <c r="N141" s="582">
        <f>VLOOKUP($A141,'Pre-Assessment Estimator'!$A$10:$Z$224,N$2,FALSE)</f>
        <v>0</v>
      </c>
      <c r="O141" s="581" t="str">
        <f>VLOOKUP($A141,'Pre-Assessment Estimator'!$A$10:$Z$224,O$2,FALSE)</f>
        <v>N/A</v>
      </c>
      <c r="P141" s="584" t="str">
        <f>IF(VLOOKUP($A141,'Pre-Assessment Estimator'!$A$10:$Z$224,P$2,FALSE)=0,"",VLOOKUP($A141,'Pre-Assessment Estimator'!$A$10:$Z$224,P$2,FALSE))</f>
        <v/>
      </c>
      <c r="Q141" s="584" t="str">
        <f>IF(VLOOKUP($A141,'Pre-Assessment Estimator'!$A$10:$Z$224,Q$2,FALSE)=0,"",VLOOKUP($A141,'Pre-Assessment Estimator'!$A$10:$Z$224,Q$2,FALSE))</f>
        <v/>
      </c>
      <c r="R141" s="585" t="str">
        <f>IF(VLOOKUP($A141,'Pre-Assessment Estimator'!$A$10:$Z$224,R$2,FALSE)=0,"",VLOOKUP($A141,'Pre-Assessment Estimator'!$A$10:$Z$224,R$2,FALSE))</f>
        <v/>
      </c>
      <c r="S141" s="588"/>
      <c r="T141" s="587" t="str">
        <f>IF(VLOOKUP($A141,'Pre-Assessment Estimator'!$A$10:$Z$224,T$2,FALSE)=0,"",VLOOKUP($A141,'Pre-Assessment Estimator'!$A$10:$Z$224,T$2,FALSE))</f>
        <v/>
      </c>
      <c r="U141" s="582">
        <f>VLOOKUP($A141,'Pre-Assessment Estimator'!$A$10:$Z$224,U$2,FALSE)</f>
        <v>0</v>
      </c>
      <c r="V141" s="581" t="str">
        <f>VLOOKUP($A141,'Pre-Assessment Estimator'!$A$10:$Z$224,V$2,FALSE)</f>
        <v>N/A</v>
      </c>
      <c r="W141" s="584" t="str">
        <f>IF(VLOOKUP($A141,'Pre-Assessment Estimator'!$A$10:$Z$224,W$2,FALSE)=0,"",VLOOKUP($A141,'Pre-Assessment Estimator'!$A$10:$Z$224,W$2,FALSE))</f>
        <v/>
      </c>
      <c r="X141" s="584" t="str">
        <f>IF(VLOOKUP($A141,'Pre-Assessment Estimator'!$A$10:$Z$224,X$2,FALSE)=0,"",VLOOKUP($A141,'Pre-Assessment Estimator'!$A$10:$Z$224,X$2,FALSE))</f>
        <v/>
      </c>
      <c r="Y141" s="370" t="str">
        <f>IF(VLOOKUP($A141,'Pre-Assessment Estimator'!$A$10:$Z$224,Y$2,FALSE)=0,"",VLOOKUP($A141,'Pre-Assessment Estimator'!$A$10:$Z$224,Y$2,FALSE))</f>
        <v/>
      </c>
      <c r="Z141" s="705"/>
      <c r="AA141" s="584"/>
      <c r="AE141" s="386">
        <f t="shared" si="1"/>
        <v>1</v>
      </c>
      <c r="AF141" s="95" t="e">
        <f>VLOOKUP(J141,'Assessment Details'!$O$45:$P$48,2,FALSE)</f>
        <v>#N/A</v>
      </c>
      <c r="AG141" s="95" t="e">
        <f>VLOOKUP(Q141,'Assessment Details'!$O$45:$P$48,2,FALSE)</f>
        <v>#N/A</v>
      </c>
      <c r="AH141" s="95" t="e">
        <f>VLOOKUP(X141,'Assessment Details'!$O$45:$P$48,2,FALSE)</f>
        <v>#N/A</v>
      </c>
    </row>
    <row r="142" spans="1:34" ht="30.75" thickBot="1" x14ac:dyDescent="0.3">
      <c r="A142" s="836">
        <v>133</v>
      </c>
      <c r="B142" s="1262" t="s">
        <v>70</v>
      </c>
      <c r="C142" s="1262"/>
      <c r="D142" s="340" t="str">
        <f>VLOOKUP($A142,'Pre-Assessment Estimator'!$A$10:$Z$224,D$2,FALSE)</f>
        <v xml:space="preserve">Design for disassembly and functional adaptability - recommendations </v>
      </c>
      <c r="E142" s="581">
        <f>VLOOKUP($A142,'Pre-Assessment Estimator'!$A$10:$Z$224,E$2,FALSE)</f>
        <v>1</v>
      </c>
      <c r="F142" s="587" t="str">
        <f>IF(VLOOKUP($A142,'Pre-Assessment Estimator'!$A$10:$Z$224,F$2,FALSE)=0,"",VLOOKUP($A142,'Pre-Assessment Estimator'!$A$10:$Z$224,F$2,FALSE))</f>
        <v/>
      </c>
      <c r="G142" s="1239">
        <f>VLOOKUP($A142,'Pre-Assessment Estimator'!$A$10:$Z$224,G$2,FALSE)</f>
        <v>0</v>
      </c>
      <c r="H142" s="583" t="str">
        <f>VLOOKUP($A142,'Pre-Assessment Estimator'!$A$10:$Z$224,H$2,FALSE)</f>
        <v>Very Good</v>
      </c>
      <c r="I142" s="584" t="str">
        <f>IF(VLOOKUP($A142,'Pre-Assessment Estimator'!$A$10:$Z$224,I$2,FALSE)=0,"",VLOOKUP($A142,'Pre-Assessment Estimator'!$A$10:$Z$224,I$2,FALSE))</f>
        <v/>
      </c>
      <c r="J142" s="584" t="str">
        <f>IF(VLOOKUP($A142,'Pre-Assessment Estimator'!$A$10:$Z$224,J$2,FALSE)=0,"",VLOOKUP($A142,'Pre-Assessment Estimator'!$A$10:$Z$224,J$2,FALSE))</f>
        <v/>
      </c>
      <c r="K142" s="585" t="str">
        <f>IF(VLOOKUP($A142,'Pre-Assessment Estimator'!$A$10:$Z$224,K$2,FALSE)=0,"",VLOOKUP($A142,'Pre-Assessment Estimator'!$A$10:$Z$224,K$2,FALSE))</f>
        <v/>
      </c>
      <c r="L142" s="586"/>
      <c r="M142" s="587" t="str">
        <f>IF(VLOOKUP($A142,'Pre-Assessment Estimator'!$A$10:$Z$224,M$2,FALSE)=0,"",VLOOKUP($A142,'Pre-Assessment Estimator'!$A$10:$Z$224,M$2,FALSE))</f>
        <v/>
      </c>
      <c r="N142" s="582">
        <f>VLOOKUP($A142,'Pre-Assessment Estimator'!$A$10:$Z$224,N$2,FALSE)</f>
        <v>0</v>
      </c>
      <c r="O142" s="581" t="str">
        <f>VLOOKUP($A142,'Pre-Assessment Estimator'!$A$10:$Z$224,O$2,FALSE)</f>
        <v>Very Good</v>
      </c>
      <c r="P142" s="584" t="str">
        <f>IF(VLOOKUP($A142,'Pre-Assessment Estimator'!$A$10:$Z$224,P$2,FALSE)=0,"",VLOOKUP($A142,'Pre-Assessment Estimator'!$A$10:$Z$224,P$2,FALSE))</f>
        <v/>
      </c>
      <c r="Q142" s="584" t="str">
        <f>IF(VLOOKUP($A142,'Pre-Assessment Estimator'!$A$10:$Z$224,Q$2,FALSE)=0,"",VLOOKUP($A142,'Pre-Assessment Estimator'!$A$10:$Z$224,Q$2,FALSE))</f>
        <v/>
      </c>
      <c r="R142" s="585" t="str">
        <f>IF(VLOOKUP($A142,'Pre-Assessment Estimator'!$A$10:$Z$224,R$2,FALSE)=0,"",VLOOKUP($A142,'Pre-Assessment Estimator'!$A$10:$Z$224,R$2,FALSE))</f>
        <v/>
      </c>
      <c r="S142" s="588"/>
      <c r="T142" s="587" t="str">
        <f>IF(VLOOKUP($A142,'Pre-Assessment Estimator'!$A$10:$Z$224,T$2,FALSE)=0,"",VLOOKUP($A142,'Pre-Assessment Estimator'!$A$10:$Z$224,T$2,FALSE))</f>
        <v/>
      </c>
      <c r="U142" s="582">
        <f>VLOOKUP($A142,'Pre-Assessment Estimator'!$A$10:$Z$224,U$2,FALSE)</f>
        <v>0</v>
      </c>
      <c r="V142" s="581" t="str">
        <f>VLOOKUP($A142,'Pre-Assessment Estimator'!$A$10:$Z$224,V$2,FALSE)</f>
        <v>Very Good</v>
      </c>
      <c r="W142" s="584" t="str">
        <f>IF(VLOOKUP($A142,'Pre-Assessment Estimator'!$A$10:$Z$224,W$2,FALSE)=0,"",VLOOKUP($A142,'Pre-Assessment Estimator'!$A$10:$Z$224,W$2,FALSE))</f>
        <v/>
      </c>
      <c r="X142" s="584" t="str">
        <f>IF(VLOOKUP($A142,'Pre-Assessment Estimator'!$A$10:$Z$224,X$2,FALSE)=0,"",VLOOKUP($A142,'Pre-Assessment Estimator'!$A$10:$Z$224,X$2,FALSE))</f>
        <v/>
      </c>
      <c r="Y142" s="370" t="str">
        <f>IF(VLOOKUP($A142,'Pre-Assessment Estimator'!$A$10:$Z$224,Y$2,FALSE)=0,"",VLOOKUP($A142,'Pre-Assessment Estimator'!$A$10:$Z$224,Y$2,FALSE))</f>
        <v/>
      </c>
      <c r="Z142" s="705"/>
      <c r="AA142" s="584" t="str">
        <f>IF(VLOOKUP($A142,'Pre-Assessment Estimator'!$A$10:$AB$224,AA$2,FALSE)=0,"",VLOOKUP($A142,'Pre-Assessment Estimator'!$A$10:$AB$224,AA$2,FALSE))</f>
        <v/>
      </c>
      <c r="AE142" s="386">
        <f t="shared" si="1"/>
        <v>1</v>
      </c>
      <c r="AF142" s="276">
        <v>0</v>
      </c>
      <c r="AG142" s="276">
        <v>0</v>
      </c>
      <c r="AH142" s="276">
        <v>0</v>
      </c>
    </row>
    <row r="143" spans="1:34" ht="30" x14ac:dyDescent="0.25">
      <c r="A143" s="836">
        <v>134</v>
      </c>
      <c r="B143" s="1262" t="s">
        <v>70</v>
      </c>
      <c r="C143" s="1262"/>
      <c r="D143" s="340" t="str">
        <f>VLOOKUP($A143,'Pre-Assessment Estimator'!$A$10:$Z$224,D$2,FALSE)</f>
        <v xml:space="preserve">Disassembly and functional adaptability - implementation </v>
      </c>
      <c r="E143" s="581">
        <f>VLOOKUP($A143,'Pre-Assessment Estimator'!$A$10:$Z$224,E$2,FALSE)</f>
        <v>1</v>
      </c>
      <c r="F143" s="587" t="str">
        <f>IF(VLOOKUP($A143,'Pre-Assessment Estimator'!$A$10:$Z$224,F$2,FALSE)=0,"",VLOOKUP($A143,'Pre-Assessment Estimator'!$A$10:$Z$224,F$2,FALSE))</f>
        <v/>
      </c>
      <c r="G143" s="1239">
        <f>VLOOKUP($A143,'Pre-Assessment Estimator'!$A$10:$Z$224,G$2,FALSE)</f>
        <v>0</v>
      </c>
      <c r="H143" s="583" t="str">
        <f>VLOOKUP($A143,'Pre-Assessment Estimator'!$A$10:$Z$224,H$2,FALSE)</f>
        <v>Very Good</v>
      </c>
      <c r="I143" s="584" t="str">
        <f>IF(VLOOKUP($A143,'Pre-Assessment Estimator'!$A$10:$Z$224,I$2,FALSE)=0,"",VLOOKUP($A143,'Pre-Assessment Estimator'!$A$10:$Z$224,I$2,FALSE))</f>
        <v/>
      </c>
      <c r="J143" s="584" t="str">
        <f>IF(VLOOKUP($A143,'Pre-Assessment Estimator'!$A$10:$Z$224,J$2,FALSE)=0,"",VLOOKUP($A143,'Pre-Assessment Estimator'!$A$10:$Z$224,J$2,FALSE))</f>
        <v/>
      </c>
      <c r="K143" s="585" t="str">
        <f>IF(VLOOKUP($A143,'Pre-Assessment Estimator'!$A$10:$Z$224,K$2,FALSE)=0,"",VLOOKUP($A143,'Pre-Assessment Estimator'!$A$10:$Z$224,K$2,FALSE))</f>
        <v/>
      </c>
      <c r="L143" s="586"/>
      <c r="M143" s="587" t="str">
        <f>IF(VLOOKUP($A143,'Pre-Assessment Estimator'!$A$10:$Z$224,M$2,FALSE)=0,"",VLOOKUP($A143,'Pre-Assessment Estimator'!$A$10:$Z$224,M$2,FALSE))</f>
        <v/>
      </c>
      <c r="N143" s="582">
        <f>VLOOKUP($A143,'Pre-Assessment Estimator'!$A$10:$Z$224,N$2,FALSE)</f>
        <v>0</v>
      </c>
      <c r="O143" s="581" t="str">
        <f>VLOOKUP($A143,'Pre-Assessment Estimator'!$A$10:$Z$224,O$2,FALSE)</f>
        <v>Very Good</v>
      </c>
      <c r="P143" s="584" t="str">
        <f>IF(VLOOKUP($A143,'Pre-Assessment Estimator'!$A$10:$Z$224,P$2,FALSE)=0,"",VLOOKUP($A143,'Pre-Assessment Estimator'!$A$10:$Z$224,P$2,FALSE))</f>
        <v/>
      </c>
      <c r="Q143" s="584" t="str">
        <f>IF(VLOOKUP($A143,'Pre-Assessment Estimator'!$A$10:$Z$224,Q$2,FALSE)=0,"",VLOOKUP($A143,'Pre-Assessment Estimator'!$A$10:$Z$224,Q$2,FALSE))</f>
        <v/>
      </c>
      <c r="R143" s="585" t="str">
        <f>IF(VLOOKUP($A143,'Pre-Assessment Estimator'!$A$10:$Z$224,R$2,FALSE)=0,"",VLOOKUP($A143,'Pre-Assessment Estimator'!$A$10:$Z$224,R$2,FALSE))</f>
        <v/>
      </c>
      <c r="S143" s="588"/>
      <c r="T143" s="587" t="str">
        <f>IF(VLOOKUP($A143,'Pre-Assessment Estimator'!$A$10:$Z$224,T$2,FALSE)=0,"",VLOOKUP($A143,'Pre-Assessment Estimator'!$A$10:$Z$224,T$2,FALSE))</f>
        <v/>
      </c>
      <c r="U143" s="582">
        <f>VLOOKUP($A143,'Pre-Assessment Estimator'!$A$10:$Z$224,U$2,FALSE)</f>
        <v>0</v>
      </c>
      <c r="V143" s="581" t="str">
        <f>VLOOKUP($A143,'Pre-Assessment Estimator'!$A$10:$Z$224,V$2,FALSE)</f>
        <v>Very Good</v>
      </c>
      <c r="W143" s="584" t="str">
        <f>IF(VLOOKUP($A143,'Pre-Assessment Estimator'!$A$10:$Z$224,W$2,FALSE)=0,"",VLOOKUP($A143,'Pre-Assessment Estimator'!$A$10:$Z$224,W$2,FALSE))</f>
        <v/>
      </c>
      <c r="X143" s="584" t="str">
        <f>IF(VLOOKUP($A143,'Pre-Assessment Estimator'!$A$10:$Z$224,X$2,FALSE)=0,"",VLOOKUP($A143,'Pre-Assessment Estimator'!$A$10:$Z$224,X$2,FALSE))</f>
        <v/>
      </c>
      <c r="Y143" s="370" t="str">
        <f>IF(VLOOKUP($A143,'Pre-Assessment Estimator'!$A$10:$Z$224,Y$2,FALSE)=0,"",VLOOKUP($A143,'Pre-Assessment Estimator'!$A$10:$Z$224,Y$2,FALSE))</f>
        <v/>
      </c>
      <c r="Z143" s="706"/>
      <c r="AA143" s="592" t="str">
        <f>IF(VLOOKUP($A143,'Pre-Assessment Estimator'!$A$10:$AB$224,AA$2,FALSE)=0,"",VLOOKUP($A143,'Pre-Assessment Estimator'!$A$10:$AB$224,AA$2,FALSE))</f>
        <v/>
      </c>
      <c r="AB143" s="389"/>
      <c r="AC143" s="389"/>
      <c r="AD143" s="389"/>
      <c r="AE143" s="386">
        <f t="shared" si="1"/>
        <v>1</v>
      </c>
      <c r="AF143" s="278">
        <v>0</v>
      </c>
      <c r="AG143" s="278">
        <v>0</v>
      </c>
      <c r="AH143" s="278">
        <v>0</v>
      </c>
    </row>
    <row r="144" spans="1:34" ht="30.75" thickBot="1" x14ac:dyDescent="0.3">
      <c r="A144" s="836">
        <v>135</v>
      </c>
      <c r="B144" s="1262" t="s">
        <v>71</v>
      </c>
      <c r="C144" s="1262"/>
      <c r="D144" s="341" t="str">
        <f>VLOOKUP($A144,'Pre-Assessment Estimator'!$A$10:$Z$224,D$2,FALSE)</f>
        <v>Total performance materials</v>
      </c>
      <c r="E144" s="589">
        <f>VLOOKUP($A144,'Pre-Assessment Estimator'!$A$10:$Z$224,E$2,FALSE)</f>
        <v>21</v>
      </c>
      <c r="F144" s="591" t="str">
        <f>IF(VLOOKUP($A144,'Pre-Assessment Estimator'!$A$10:$Z$224,F$2,FALSE)=0,"",VLOOKUP($A144,'Pre-Assessment Estimator'!$A$10:$Z$224,F$2,FALSE))</f>
        <v/>
      </c>
      <c r="G144" s="590">
        <f>VLOOKUP($A144,'Pre-Assessment Estimator'!$A$10:$Z$224,G$2,FALSE)</f>
        <v>0</v>
      </c>
      <c r="H144" s="589" t="str">
        <f>VLOOKUP($A144,'Pre-Assessment Estimator'!$A$10:$Z$224,H$2,FALSE)</f>
        <v>Credits achieved: 0</v>
      </c>
      <c r="I144" s="1220" t="str">
        <f>IF(VLOOKUP($A144,'Pre-Assessment Estimator'!$A$10:$Z$224,I$2,FALSE)=0,"",VLOOKUP($A144,'Pre-Assessment Estimator'!$A$10:$Z$224,I$2,FALSE))</f>
        <v/>
      </c>
      <c r="J144" s="1220" t="str">
        <f>IF(VLOOKUP($A144,'Pre-Assessment Estimator'!$A$10:$Z$224,J$2,FALSE)=0,"",VLOOKUP($A144,'Pre-Assessment Estimator'!$A$10:$Z$224,J$2,FALSE))</f>
        <v/>
      </c>
      <c r="K144" s="1240" t="str">
        <f>IF(VLOOKUP($A144,'Pre-Assessment Estimator'!$A$10:$Z$224,K$2,FALSE)=0,"",VLOOKUP($A144,'Pre-Assessment Estimator'!$A$10:$Z$224,K$2,FALSE))</f>
        <v/>
      </c>
      <c r="L144" s="1241"/>
      <c r="M144" s="591" t="str">
        <f>IF(VLOOKUP($A144,'Pre-Assessment Estimator'!$A$10:$Z$224,M$2,FALSE)=0,"",VLOOKUP($A144,'Pre-Assessment Estimator'!$A$10:$Z$224,M$2,FALSE))</f>
        <v/>
      </c>
      <c r="N144" s="590">
        <f>VLOOKUP($A144,'Pre-Assessment Estimator'!$A$10:$Z$224,N$2,FALSE)</f>
        <v>0</v>
      </c>
      <c r="O144" s="589" t="str">
        <f>VLOOKUP($A144,'Pre-Assessment Estimator'!$A$10:$Z$224,O$2,FALSE)</f>
        <v>Credits achieved: 0</v>
      </c>
      <c r="P144" s="1220" t="str">
        <f>IF(VLOOKUP($A144,'Pre-Assessment Estimator'!$A$10:$Z$224,P$2,FALSE)=0,"",VLOOKUP($A144,'Pre-Assessment Estimator'!$A$10:$Z$224,P$2,FALSE))</f>
        <v/>
      </c>
      <c r="Q144" s="1220" t="str">
        <f>IF(VLOOKUP($A144,'Pre-Assessment Estimator'!$A$10:$Z$224,Q$2,FALSE)=0,"",VLOOKUP($A144,'Pre-Assessment Estimator'!$A$10:$Z$224,Q$2,FALSE))</f>
        <v/>
      </c>
      <c r="R144" s="1240" t="str">
        <f>IF(VLOOKUP($A144,'Pre-Assessment Estimator'!$A$10:$Z$224,R$2,FALSE)=0,"",VLOOKUP($A144,'Pre-Assessment Estimator'!$A$10:$Z$224,R$2,FALSE))</f>
        <v/>
      </c>
      <c r="S144" s="1242"/>
      <c r="T144" s="591" t="str">
        <f>IF(VLOOKUP($A144,'Pre-Assessment Estimator'!$A$10:$Z$224,T$2,FALSE)=0,"",VLOOKUP($A144,'Pre-Assessment Estimator'!$A$10:$Z$224,T$2,FALSE))</f>
        <v/>
      </c>
      <c r="U144" s="590">
        <f>VLOOKUP($A144,'Pre-Assessment Estimator'!$A$10:$Z$224,U$2,FALSE)</f>
        <v>0</v>
      </c>
      <c r="V144" s="589" t="str">
        <f>VLOOKUP($A144,'Pre-Assessment Estimator'!$A$10:$Z$224,V$2,FALSE)</f>
        <v>Credits achieved: 0</v>
      </c>
      <c r="W144" s="1220" t="str">
        <f>IF(VLOOKUP($A144,'Pre-Assessment Estimator'!$A$10:$Z$224,W$2,FALSE)=0,"",VLOOKUP($A144,'Pre-Assessment Estimator'!$A$10:$Z$224,W$2,FALSE))</f>
        <v/>
      </c>
      <c r="X144" s="1220" t="str">
        <f>IF(VLOOKUP($A144,'Pre-Assessment Estimator'!$A$10:$Z$224,X$2,FALSE)=0,"",VLOOKUP($A144,'Pre-Assessment Estimator'!$A$10:$Z$224,X$2,FALSE))</f>
        <v/>
      </c>
      <c r="Y144" s="1243" t="str">
        <f>IF(VLOOKUP($A144,'Pre-Assessment Estimator'!$A$10:$Z$224,Y$2,FALSE)=0,"",VLOOKUP($A144,'Pre-Assessment Estimator'!$A$10:$Z$224,Y$2,FALSE))</f>
        <v/>
      </c>
      <c r="Z144" s="704"/>
      <c r="AA144" s="708" t="str">
        <f>IF(VLOOKUP($A144,'Pre-Assessment Estimator'!$A$10:$AB$224,AA$2,FALSE)=0,"",VLOOKUP($A144,'Pre-Assessment Estimator'!$A$10:$AB$224,AA$2,FALSE))</f>
        <v/>
      </c>
      <c r="AE144" s="386">
        <f t="shared" si="1"/>
        <v>1</v>
      </c>
      <c r="AF144" s="275">
        <v>0</v>
      </c>
      <c r="AG144" s="275">
        <v>0</v>
      </c>
      <c r="AH144" s="275">
        <v>0</v>
      </c>
    </row>
    <row r="145" spans="1:34" x14ac:dyDescent="0.25">
      <c r="A145" s="836">
        <v>136</v>
      </c>
      <c r="B145" s="1262" t="s">
        <v>71</v>
      </c>
      <c r="C145" s="1262"/>
      <c r="D145" s="592"/>
      <c r="E145" s="593"/>
      <c r="F145" s="593"/>
      <c r="G145" s="593"/>
      <c r="H145" s="593"/>
      <c r="I145" s="592"/>
      <c r="J145" s="593"/>
      <c r="K145" s="592"/>
      <c r="L145" s="586"/>
      <c r="M145" s="593"/>
      <c r="N145" s="593"/>
      <c r="O145" s="593"/>
      <c r="P145" s="592"/>
      <c r="Q145" s="593"/>
      <c r="R145" s="592"/>
      <c r="S145" s="588"/>
      <c r="T145" s="593"/>
      <c r="U145" s="593"/>
      <c r="V145" s="593"/>
      <c r="W145" s="592"/>
      <c r="X145" s="593"/>
      <c r="Y145" s="343"/>
      <c r="Z145" s="705"/>
      <c r="AA145" s="584" t="str">
        <f>IF(VLOOKUP($A145,'Pre-Assessment Estimator'!$A$10:$AB$224,AA$2,FALSE)=0,"",VLOOKUP($A145,'Pre-Assessment Estimator'!$A$10:$AB$224,AA$2,FALSE))</f>
        <v/>
      </c>
      <c r="AE145" s="386">
        <f t="shared" ref="AE145:AE208" si="2">IF(E145="",1,IF(E145=0,2,1))</f>
        <v>1</v>
      </c>
      <c r="AF145" s="95" t="e">
        <f>VLOOKUP(J145,'Assessment Details'!$O$45:$P$48,2,FALSE)</f>
        <v>#N/A</v>
      </c>
      <c r="AG145" s="95" t="e">
        <f>VLOOKUP(Q145,'Assessment Details'!$O$45:$P$48,2,FALSE)</f>
        <v>#N/A</v>
      </c>
      <c r="AH145" s="95" t="e">
        <f>VLOOKUP(X145,'Assessment Details'!$O$45:$P$48,2,FALSE)</f>
        <v>#N/A</v>
      </c>
    </row>
    <row r="146" spans="1:34" ht="18.75" x14ac:dyDescent="0.25">
      <c r="A146" s="836">
        <v>137</v>
      </c>
      <c r="B146" s="1262"/>
      <c r="C146" s="1262"/>
      <c r="D146" s="594" t="s">
        <v>71</v>
      </c>
      <c r="E146" s="577"/>
      <c r="F146" s="577"/>
      <c r="G146" s="577"/>
      <c r="H146" s="577"/>
      <c r="I146" s="578"/>
      <c r="J146" s="577"/>
      <c r="K146" s="578"/>
      <c r="L146" s="586"/>
      <c r="M146" s="577"/>
      <c r="N146" s="577"/>
      <c r="O146" s="577"/>
      <c r="P146" s="578"/>
      <c r="Q146" s="577"/>
      <c r="R146" s="578"/>
      <c r="S146" s="588"/>
      <c r="T146" s="577"/>
      <c r="U146" s="577"/>
      <c r="V146" s="577"/>
      <c r="W146" s="578"/>
      <c r="X146" s="577"/>
      <c r="Y146" s="411"/>
      <c r="Z146" s="705"/>
      <c r="AA146" s="584"/>
      <c r="AE146" s="386">
        <f t="shared" si="2"/>
        <v>1</v>
      </c>
      <c r="AF146" s="95" t="e">
        <f>VLOOKUP(J146,'Assessment Details'!$O$45:$P$48,2,FALSE)</f>
        <v>#N/A</v>
      </c>
      <c r="AG146" s="95" t="e">
        <f>VLOOKUP(Q146,'Assessment Details'!$O$45:$P$48,2,FALSE)</f>
        <v>#N/A</v>
      </c>
      <c r="AH146" s="95" t="e">
        <f>VLOOKUP(X146,'Assessment Details'!$O$45:$P$48,2,FALSE)</f>
        <v>#N/A</v>
      </c>
    </row>
    <row r="147" spans="1:34" x14ac:dyDescent="0.25">
      <c r="A147" s="836">
        <v>138</v>
      </c>
      <c r="B147" s="1262"/>
      <c r="C147" s="1262"/>
      <c r="D147" s="993" t="str">
        <f>VLOOKUP($A147,'Pre-Assessment Estimator'!$A$10:$Z$224,D$2,FALSE)</f>
        <v>Wst 01 Construction waste management</v>
      </c>
      <c r="E147" s="581">
        <f>VLOOKUP($A147,'Pre-Assessment Estimator'!$A$10:$Z$224,E$2,FALSE)</f>
        <v>5</v>
      </c>
      <c r="F147" s="587" t="str">
        <f>IF(VLOOKUP($A147,'Pre-Assessment Estimator'!$A$10:$Z$224,F$2,FALSE)=0,"",VLOOKUP($A147,'Pre-Assessment Estimator'!$A$10:$Z$224,F$2,FALSE))</f>
        <v/>
      </c>
      <c r="G147" s="1239" t="str">
        <f>VLOOKUP($A147,'Pre-Assessment Estimator'!$A$10:$Z$224,G$2,FALSE)</f>
        <v>0 c. 0 %</v>
      </c>
      <c r="H147" s="583" t="str">
        <f>VLOOKUP($A147,'Pre-Assessment Estimator'!$A$10:$Z$224,H$2,FALSE)</f>
        <v>N/A</v>
      </c>
      <c r="I147" s="584" t="str">
        <f>IF(VLOOKUP($A147,'Pre-Assessment Estimator'!$A$10:$Z$224,I$2,FALSE)=0,"",VLOOKUP($A147,'Pre-Assessment Estimator'!$A$10:$Z$224,I$2,FALSE))</f>
        <v/>
      </c>
      <c r="J147" s="584" t="str">
        <f>IF(VLOOKUP($A147,'Pre-Assessment Estimator'!$A$10:$Z$224,J$2,FALSE)=0,"",VLOOKUP($A147,'Pre-Assessment Estimator'!$A$10:$Z$224,J$2,FALSE))</f>
        <v/>
      </c>
      <c r="K147" s="585" t="str">
        <f>IF(VLOOKUP($A147,'Pre-Assessment Estimator'!$A$10:$Z$224,K$2,FALSE)=0,"",VLOOKUP($A147,'Pre-Assessment Estimator'!$A$10:$Z$224,K$2,FALSE))</f>
        <v/>
      </c>
      <c r="L147" s="586"/>
      <c r="M147" s="587" t="str">
        <f>IF(VLOOKUP($A147,'Pre-Assessment Estimator'!$A$10:$Z$224,M$2,FALSE)=0,"",VLOOKUP($A147,'Pre-Assessment Estimator'!$A$10:$Z$224,M$2,FALSE))</f>
        <v/>
      </c>
      <c r="N147" s="582" t="str">
        <f>VLOOKUP($A147,'Pre-Assessment Estimator'!$A$10:$Z$224,N$2,FALSE)</f>
        <v>0 c. 0 %</v>
      </c>
      <c r="O147" s="581" t="str">
        <f>VLOOKUP($A147,'Pre-Assessment Estimator'!$A$10:$Z$224,O$2,FALSE)</f>
        <v>N/A</v>
      </c>
      <c r="P147" s="584" t="str">
        <f>IF(VLOOKUP($A147,'Pre-Assessment Estimator'!$A$10:$Z$224,P$2,FALSE)=0,"",VLOOKUP($A147,'Pre-Assessment Estimator'!$A$10:$Z$224,P$2,FALSE))</f>
        <v/>
      </c>
      <c r="Q147" s="584" t="str">
        <f>IF(VLOOKUP($A147,'Pre-Assessment Estimator'!$A$10:$Z$224,Q$2,FALSE)=0,"",VLOOKUP($A147,'Pre-Assessment Estimator'!$A$10:$Z$224,Q$2,FALSE))</f>
        <v/>
      </c>
      <c r="R147" s="585" t="str">
        <f>IF(VLOOKUP($A147,'Pre-Assessment Estimator'!$A$10:$Z$224,R$2,FALSE)=0,"",VLOOKUP($A147,'Pre-Assessment Estimator'!$A$10:$Z$224,R$2,FALSE))</f>
        <v/>
      </c>
      <c r="S147" s="588"/>
      <c r="T147" s="587" t="str">
        <f>IF(VLOOKUP($A147,'Pre-Assessment Estimator'!$A$10:$Z$224,T$2,FALSE)=0,"",VLOOKUP($A147,'Pre-Assessment Estimator'!$A$10:$Z$224,T$2,FALSE))</f>
        <v/>
      </c>
      <c r="U147" s="582" t="str">
        <f>VLOOKUP($A147,'Pre-Assessment Estimator'!$A$10:$Z$224,U$2,FALSE)</f>
        <v>0 c. 0 %</v>
      </c>
      <c r="V147" s="581" t="str">
        <f>VLOOKUP($A147,'Pre-Assessment Estimator'!$A$10:$Z$224,V$2,FALSE)</f>
        <v>N/A</v>
      </c>
      <c r="W147" s="584" t="str">
        <f>IF(VLOOKUP($A147,'Pre-Assessment Estimator'!$A$10:$Z$224,W$2,FALSE)=0,"",VLOOKUP($A147,'Pre-Assessment Estimator'!$A$10:$Z$224,W$2,FALSE))</f>
        <v/>
      </c>
      <c r="X147" s="584" t="str">
        <f>IF(VLOOKUP($A147,'Pre-Assessment Estimator'!$A$10:$Z$224,X$2,FALSE)=0,"",VLOOKUP($A147,'Pre-Assessment Estimator'!$A$10:$Z$224,X$2,FALSE))</f>
        <v/>
      </c>
      <c r="Y147" s="370" t="str">
        <f>IF(VLOOKUP($A147,'Pre-Assessment Estimator'!$A$10:$Z$224,Y$2,FALSE)=0,"",VLOOKUP($A147,'Pre-Assessment Estimator'!$A$10:$Z$224,Y$2,FALSE))</f>
        <v/>
      </c>
      <c r="Z147" s="705"/>
      <c r="AA147" s="584"/>
      <c r="AE147" s="386">
        <f t="shared" si="2"/>
        <v>1</v>
      </c>
      <c r="AF147" s="95" t="e">
        <f>VLOOKUP(J147,'Assessment Details'!$O$45:$P$48,2,FALSE)</f>
        <v>#N/A</v>
      </c>
      <c r="AG147" s="95" t="e">
        <f>VLOOKUP(Q147,'Assessment Details'!$O$45:$P$48,2,FALSE)</f>
        <v>#N/A</v>
      </c>
      <c r="AH147" s="95" t="e">
        <f>VLOOKUP(X147,'Assessment Details'!$O$45:$P$48,2,FALSE)</f>
        <v>#N/A</v>
      </c>
    </row>
    <row r="148" spans="1:34" x14ac:dyDescent="0.25">
      <c r="A148" s="836">
        <v>139</v>
      </c>
      <c r="B148" s="1262"/>
      <c r="C148" s="1262"/>
      <c r="D148" s="340" t="str">
        <f>VLOOKUP($A148,'Pre-Assessment Estimator'!$A$10:$Z$224,D$2,FALSE)</f>
        <v>EU taxonomy requirement: criterion 1</v>
      </c>
      <c r="E148" s="581" t="str">
        <f>VLOOKUP($A148,'Pre-Assessment Estimator'!$A$10:$Z$224,E$2,FALSE)</f>
        <v>Yes/No</v>
      </c>
      <c r="F148" s="587" t="str">
        <f>IF(VLOOKUP($A148,'Pre-Assessment Estimator'!$A$10:$Z$224,F$2,FALSE)=0,"",VLOOKUP($A148,'Pre-Assessment Estimator'!$A$10:$Z$224,F$2,FALSE))</f>
        <v/>
      </c>
      <c r="G148" s="1239" t="str">
        <f>VLOOKUP($A148,'Pre-Assessment Estimator'!$A$10:$Z$224,G$2,FALSE)</f>
        <v>-</v>
      </c>
      <c r="H148" s="583" t="str">
        <f>VLOOKUP($A148,'Pre-Assessment Estimator'!$A$10:$Z$224,H$2,FALSE)</f>
        <v>N/A</v>
      </c>
      <c r="I148" s="584" t="str">
        <f>IF(VLOOKUP($A148,'Pre-Assessment Estimator'!$A$10:$Z$224,I$2,FALSE)=0,"",VLOOKUP($A148,'Pre-Assessment Estimator'!$A$10:$Z$224,I$2,FALSE))</f>
        <v/>
      </c>
      <c r="J148" s="584" t="str">
        <f>IF(VLOOKUP($A148,'Pre-Assessment Estimator'!$A$10:$Z$224,J$2,FALSE)=0,"",VLOOKUP($A148,'Pre-Assessment Estimator'!$A$10:$Z$224,J$2,FALSE))</f>
        <v/>
      </c>
      <c r="K148" s="585" t="str">
        <f>IF(VLOOKUP($A148,'Pre-Assessment Estimator'!$A$10:$Z$224,K$2,FALSE)=0,"",VLOOKUP($A148,'Pre-Assessment Estimator'!$A$10:$Z$224,K$2,FALSE))</f>
        <v/>
      </c>
      <c r="L148" s="586"/>
      <c r="M148" s="587" t="str">
        <f>IF(VLOOKUP($A148,'Pre-Assessment Estimator'!$A$10:$Z$224,M$2,FALSE)=0,"",VLOOKUP($A148,'Pre-Assessment Estimator'!$A$10:$Z$224,M$2,FALSE))</f>
        <v/>
      </c>
      <c r="N148" s="582" t="str">
        <f>VLOOKUP($A148,'Pre-Assessment Estimator'!$A$10:$Z$224,N$2,FALSE)</f>
        <v>-</v>
      </c>
      <c r="O148" s="581" t="str">
        <f>VLOOKUP($A148,'Pre-Assessment Estimator'!$A$10:$Z$224,O$2,FALSE)</f>
        <v>N/A</v>
      </c>
      <c r="P148" s="584" t="str">
        <f>IF(VLOOKUP($A148,'Pre-Assessment Estimator'!$A$10:$Z$224,P$2,FALSE)=0,"",VLOOKUP($A148,'Pre-Assessment Estimator'!$A$10:$Z$224,P$2,FALSE))</f>
        <v/>
      </c>
      <c r="Q148" s="584" t="str">
        <f>IF(VLOOKUP($A148,'Pre-Assessment Estimator'!$A$10:$Z$224,Q$2,FALSE)=0,"",VLOOKUP($A148,'Pre-Assessment Estimator'!$A$10:$Z$224,Q$2,FALSE))</f>
        <v/>
      </c>
      <c r="R148" s="585" t="str">
        <f>IF(VLOOKUP($A148,'Pre-Assessment Estimator'!$A$10:$Z$224,R$2,FALSE)=0,"",VLOOKUP($A148,'Pre-Assessment Estimator'!$A$10:$Z$224,R$2,FALSE))</f>
        <v/>
      </c>
      <c r="S148" s="588"/>
      <c r="T148" s="587" t="str">
        <f>IF(VLOOKUP($A148,'Pre-Assessment Estimator'!$A$10:$Z$224,T$2,FALSE)=0,"",VLOOKUP($A148,'Pre-Assessment Estimator'!$A$10:$Z$224,T$2,FALSE))</f>
        <v/>
      </c>
      <c r="U148" s="582" t="str">
        <f>VLOOKUP($A148,'Pre-Assessment Estimator'!$A$10:$Z$224,U$2,FALSE)</f>
        <v>-</v>
      </c>
      <c r="V148" s="581" t="str">
        <f>VLOOKUP($A148,'Pre-Assessment Estimator'!$A$10:$Z$224,V$2,FALSE)</f>
        <v>N/A</v>
      </c>
      <c r="W148" s="584" t="str">
        <f>IF(VLOOKUP($A148,'Pre-Assessment Estimator'!$A$10:$Z$224,W$2,FALSE)=0,"",VLOOKUP($A148,'Pre-Assessment Estimator'!$A$10:$Z$224,W$2,FALSE))</f>
        <v/>
      </c>
      <c r="X148" s="584" t="str">
        <f>IF(VLOOKUP($A148,'Pre-Assessment Estimator'!$A$10:$Z$224,X$2,FALSE)=0,"",VLOOKUP($A148,'Pre-Assessment Estimator'!$A$10:$Z$224,X$2,FALSE))</f>
        <v/>
      </c>
      <c r="Y148" s="370" t="str">
        <f>IF(VLOOKUP($A148,'Pre-Assessment Estimator'!$A$10:$Z$224,Y$2,FALSE)=0,"",VLOOKUP($A148,'Pre-Assessment Estimator'!$A$10:$Z$224,Y$2,FALSE))</f>
        <v/>
      </c>
      <c r="Z148" s="705"/>
      <c r="AA148" s="584"/>
      <c r="AE148" s="386">
        <f t="shared" si="2"/>
        <v>1</v>
      </c>
      <c r="AF148" s="95" t="e">
        <f>VLOOKUP(J148,'Assessment Details'!$O$45:$P$48,2,FALSE)</f>
        <v>#N/A</v>
      </c>
      <c r="AG148" s="95" t="e">
        <f>VLOOKUP(Q148,'Assessment Details'!$O$45:$P$48,2,FALSE)</f>
        <v>#N/A</v>
      </c>
      <c r="AH148" s="95" t="e">
        <f>VLOOKUP(X148,'Assessment Details'!$O$45:$P$48,2,FALSE)</f>
        <v>#N/A</v>
      </c>
    </row>
    <row r="149" spans="1:34" x14ac:dyDescent="0.25">
      <c r="A149" s="836">
        <v>140</v>
      </c>
      <c r="B149" s="1262"/>
      <c r="C149" s="1262"/>
      <c r="D149" s="340" t="str">
        <f>VLOOKUP($A149,'Pre-Assessment Estimator'!$A$10:$Z$224,D$2,FALSE)</f>
        <v>Resource managment plan</v>
      </c>
      <c r="E149" s="581">
        <f>VLOOKUP($A149,'Pre-Assessment Estimator'!$A$10:$Z$224,E$2,FALSE)</f>
        <v>1</v>
      </c>
      <c r="F149" s="587" t="str">
        <f>IF(VLOOKUP($A149,'Pre-Assessment Estimator'!$A$10:$Z$224,F$2,FALSE)=0,"",VLOOKUP($A149,'Pre-Assessment Estimator'!$A$10:$Z$224,F$2,FALSE))</f>
        <v/>
      </c>
      <c r="G149" s="1239">
        <f>VLOOKUP($A149,'Pre-Assessment Estimator'!$A$10:$Z$224,G$2,FALSE)</f>
        <v>0</v>
      </c>
      <c r="H149" s="583" t="str">
        <f>VLOOKUP($A149,'Pre-Assessment Estimator'!$A$10:$Z$224,H$2,FALSE)</f>
        <v>Good</v>
      </c>
      <c r="I149" s="584" t="str">
        <f>IF(VLOOKUP($A149,'Pre-Assessment Estimator'!$A$10:$Z$224,I$2,FALSE)=0,"",VLOOKUP($A149,'Pre-Assessment Estimator'!$A$10:$Z$224,I$2,FALSE))</f>
        <v/>
      </c>
      <c r="J149" s="584" t="str">
        <f>IF(VLOOKUP($A149,'Pre-Assessment Estimator'!$A$10:$Z$224,J$2,FALSE)=0,"",VLOOKUP($A149,'Pre-Assessment Estimator'!$A$10:$Z$224,J$2,FALSE))</f>
        <v/>
      </c>
      <c r="K149" s="585" t="str">
        <f>IF(VLOOKUP($A149,'Pre-Assessment Estimator'!$A$10:$Z$224,K$2,FALSE)=0,"",VLOOKUP($A149,'Pre-Assessment Estimator'!$A$10:$Z$224,K$2,FALSE))</f>
        <v/>
      </c>
      <c r="L149" s="586"/>
      <c r="M149" s="587" t="str">
        <f>IF(VLOOKUP($A149,'Pre-Assessment Estimator'!$A$10:$Z$224,M$2,FALSE)=0,"",VLOOKUP($A149,'Pre-Assessment Estimator'!$A$10:$Z$224,M$2,FALSE))</f>
        <v/>
      </c>
      <c r="N149" s="582">
        <f>VLOOKUP($A149,'Pre-Assessment Estimator'!$A$10:$Z$224,N$2,FALSE)</f>
        <v>0</v>
      </c>
      <c r="O149" s="581" t="str">
        <f>VLOOKUP($A149,'Pre-Assessment Estimator'!$A$10:$Z$224,O$2,FALSE)</f>
        <v>Good</v>
      </c>
      <c r="P149" s="584" t="str">
        <f>IF(VLOOKUP($A149,'Pre-Assessment Estimator'!$A$10:$Z$224,P$2,FALSE)=0,"",VLOOKUP($A149,'Pre-Assessment Estimator'!$A$10:$Z$224,P$2,FALSE))</f>
        <v/>
      </c>
      <c r="Q149" s="584" t="str">
        <f>IF(VLOOKUP($A149,'Pre-Assessment Estimator'!$A$10:$Z$224,Q$2,FALSE)=0,"",VLOOKUP($A149,'Pre-Assessment Estimator'!$A$10:$Z$224,Q$2,FALSE))</f>
        <v/>
      </c>
      <c r="R149" s="585" t="str">
        <f>IF(VLOOKUP($A149,'Pre-Assessment Estimator'!$A$10:$Z$224,R$2,FALSE)=0,"",VLOOKUP($A149,'Pre-Assessment Estimator'!$A$10:$Z$224,R$2,FALSE))</f>
        <v/>
      </c>
      <c r="S149" s="588"/>
      <c r="T149" s="587" t="str">
        <f>IF(VLOOKUP($A149,'Pre-Assessment Estimator'!$A$10:$Z$224,T$2,FALSE)=0,"",VLOOKUP($A149,'Pre-Assessment Estimator'!$A$10:$Z$224,T$2,FALSE))</f>
        <v/>
      </c>
      <c r="U149" s="582">
        <f>VLOOKUP($A149,'Pre-Assessment Estimator'!$A$10:$Z$224,U$2,FALSE)</f>
        <v>0</v>
      </c>
      <c r="V149" s="581" t="str">
        <f>VLOOKUP($A149,'Pre-Assessment Estimator'!$A$10:$Z$224,V$2,FALSE)</f>
        <v>Good</v>
      </c>
      <c r="W149" s="584" t="str">
        <f>IF(VLOOKUP($A149,'Pre-Assessment Estimator'!$A$10:$Z$224,W$2,FALSE)=0,"",VLOOKUP($A149,'Pre-Assessment Estimator'!$A$10:$Z$224,W$2,FALSE))</f>
        <v/>
      </c>
      <c r="X149" s="584" t="str">
        <f>IF(VLOOKUP($A149,'Pre-Assessment Estimator'!$A$10:$Z$224,X$2,FALSE)=0,"",VLOOKUP($A149,'Pre-Assessment Estimator'!$A$10:$Z$224,X$2,FALSE))</f>
        <v/>
      </c>
      <c r="Y149" s="370" t="str">
        <f>IF(VLOOKUP($A149,'Pre-Assessment Estimator'!$A$10:$Z$224,Y$2,FALSE)=0,"",VLOOKUP($A149,'Pre-Assessment Estimator'!$A$10:$Z$224,Y$2,FALSE))</f>
        <v/>
      </c>
      <c r="Z149" s="705"/>
      <c r="AA149" s="584"/>
      <c r="AE149" s="386">
        <f t="shared" si="2"/>
        <v>1</v>
      </c>
      <c r="AF149" s="95" t="e">
        <f>VLOOKUP(J149,'Assessment Details'!$O$45:$P$48,2,FALSE)</f>
        <v>#N/A</v>
      </c>
      <c r="AG149" s="95" t="e">
        <f>VLOOKUP(Q149,'Assessment Details'!$O$45:$P$48,2,FALSE)</f>
        <v>#N/A</v>
      </c>
      <c r="AH149" s="95" t="e">
        <f>VLOOKUP(X149,'Assessment Details'!$O$45:$P$48,2,FALSE)</f>
        <v>#N/A</v>
      </c>
    </row>
    <row r="150" spans="1:34" x14ac:dyDescent="0.25">
      <c r="A150" s="836">
        <v>141</v>
      </c>
      <c r="B150" s="1262"/>
      <c r="C150" s="1262"/>
      <c r="D150" s="340" t="str">
        <f>VLOOKUP($A150,'Pre-Assessment Estimator'!$A$10:$Z$224,D$2,FALSE)</f>
        <v>Amount of construction waste</v>
      </c>
      <c r="E150" s="581">
        <f>VLOOKUP($A150,'Pre-Assessment Estimator'!$A$10:$Z$224,E$2,FALSE)</f>
        <v>2</v>
      </c>
      <c r="F150" s="587" t="str">
        <f>IF(VLOOKUP($A150,'Pre-Assessment Estimator'!$A$10:$Z$224,F$2,FALSE)=0,"",VLOOKUP($A150,'Pre-Assessment Estimator'!$A$10:$Z$224,F$2,FALSE))</f>
        <v/>
      </c>
      <c r="G150" s="1239">
        <f>VLOOKUP($A150,'Pre-Assessment Estimator'!$A$10:$Z$224,G$2,FALSE)</f>
        <v>0</v>
      </c>
      <c r="H150" s="583" t="str">
        <f>VLOOKUP($A150,'Pre-Assessment Estimator'!$A$10:$Z$224,H$2,FALSE)</f>
        <v>Excellent</v>
      </c>
      <c r="I150" s="584" t="str">
        <f>IF(VLOOKUP($A150,'Pre-Assessment Estimator'!$A$10:$Z$224,I$2,FALSE)=0,"",VLOOKUP($A150,'Pre-Assessment Estimator'!$A$10:$Z$224,I$2,FALSE))</f>
        <v/>
      </c>
      <c r="J150" s="584" t="str">
        <f>IF(VLOOKUP($A150,'Pre-Assessment Estimator'!$A$10:$Z$224,J$2,FALSE)=0,"",VLOOKUP($A150,'Pre-Assessment Estimator'!$A$10:$Z$224,J$2,FALSE))</f>
        <v/>
      </c>
      <c r="K150" s="585" t="str">
        <f>IF(VLOOKUP($A150,'Pre-Assessment Estimator'!$A$10:$Z$224,K$2,FALSE)=0,"",VLOOKUP($A150,'Pre-Assessment Estimator'!$A$10:$Z$224,K$2,FALSE))</f>
        <v/>
      </c>
      <c r="L150" s="586"/>
      <c r="M150" s="587" t="str">
        <f>IF(VLOOKUP($A150,'Pre-Assessment Estimator'!$A$10:$Z$224,M$2,FALSE)=0,"",VLOOKUP($A150,'Pre-Assessment Estimator'!$A$10:$Z$224,M$2,FALSE))</f>
        <v/>
      </c>
      <c r="N150" s="582">
        <f>VLOOKUP($A150,'Pre-Assessment Estimator'!$A$10:$Z$224,N$2,FALSE)</f>
        <v>0</v>
      </c>
      <c r="O150" s="581" t="str">
        <f>VLOOKUP($A150,'Pre-Assessment Estimator'!$A$10:$Z$224,O$2,FALSE)</f>
        <v>Excellent</v>
      </c>
      <c r="P150" s="584" t="str">
        <f>IF(VLOOKUP($A150,'Pre-Assessment Estimator'!$A$10:$Z$224,P$2,FALSE)=0,"",VLOOKUP($A150,'Pre-Assessment Estimator'!$A$10:$Z$224,P$2,FALSE))</f>
        <v/>
      </c>
      <c r="Q150" s="584" t="str">
        <f>IF(VLOOKUP($A150,'Pre-Assessment Estimator'!$A$10:$Z$224,Q$2,FALSE)=0,"",VLOOKUP($A150,'Pre-Assessment Estimator'!$A$10:$Z$224,Q$2,FALSE))</f>
        <v/>
      </c>
      <c r="R150" s="585" t="str">
        <f>IF(VLOOKUP($A150,'Pre-Assessment Estimator'!$A$10:$Z$224,R$2,FALSE)=0,"",VLOOKUP($A150,'Pre-Assessment Estimator'!$A$10:$Z$224,R$2,FALSE))</f>
        <v/>
      </c>
      <c r="S150" s="588"/>
      <c r="T150" s="587" t="str">
        <f>IF(VLOOKUP($A150,'Pre-Assessment Estimator'!$A$10:$Z$224,T$2,FALSE)=0,"",VLOOKUP($A150,'Pre-Assessment Estimator'!$A$10:$Z$224,T$2,FALSE))</f>
        <v/>
      </c>
      <c r="U150" s="582">
        <f>VLOOKUP($A150,'Pre-Assessment Estimator'!$A$10:$Z$224,U$2,FALSE)</f>
        <v>0</v>
      </c>
      <c r="V150" s="581" t="str">
        <f>VLOOKUP($A150,'Pre-Assessment Estimator'!$A$10:$Z$224,V$2,FALSE)</f>
        <v>Excellent</v>
      </c>
      <c r="W150" s="584" t="str">
        <f>IF(VLOOKUP($A150,'Pre-Assessment Estimator'!$A$10:$Z$224,W$2,FALSE)=0,"",VLOOKUP($A150,'Pre-Assessment Estimator'!$A$10:$Z$224,W$2,FALSE))</f>
        <v/>
      </c>
      <c r="X150" s="584" t="str">
        <f>IF(VLOOKUP($A150,'Pre-Assessment Estimator'!$A$10:$Z$224,X$2,FALSE)=0,"",VLOOKUP($A150,'Pre-Assessment Estimator'!$A$10:$Z$224,X$2,FALSE))</f>
        <v/>
      </c>
      <c r="Y150" s="370" t="str">
        <f>IF(VLOOKUP($A150,'Pre-Assessment Estimator'!$A$10:$Z$224,Y$2,FALSE)=0,"",VLOOKUP($A150,'Pre-Assessment Estimator'!$A$10:$Z$224,Y$2,FALSE))</f>
        <v/>
      </c>
      <c r="Z150" s="705"/>
      <c r="AA150" s="584"/>
      <c r="AE150" s="386">
        <f t="shared" si="2"/>
        <v>1</v>
      </c>
      <c r="AF150" s="95" t="e">
        <f>VLOOKUP(J150,'Assessment Details'!$O$45:$P$48,2,FALSE)</f>
        <v>#N/A</v>
      </c>
      <c r="AG150" s="95" t="e">
        <f>VLOOKUP(Q150,'Assessment Details'!$O$45:$P$48,2,FALSE)</f>
        <v>#N/A</v>
      </c>
      <c r="AH150" s="95" t="e">
        <f>VLOOKUP(X150,'Assessment Details'!$O$45:$P$48,2,FALSE)</f>
        <v>#N/A</v>
      </c>
    </row>
    <row r="151" spans="1:34" x14ac:dyDescent="0.25">
      <c r="A151" s="836">
        <v>142</v>
      </c>
      <c r="B151" s="1262"/>
      <c r="C151" s="1262"/>
      <c r="D151" s="340" t="str">
        <f>VLOOKUP($A151,'Pre-Assessment Estimator'!$A$10:$Z$224,D$2,FALSE)</f>
        <v>Waste sorting, reuse and recycling</v>
      </c>
      <c r="E151" s="581">
        <f>VLOOKUP($A151,'Pre-Assessment Estimator'!$A$10:$Z$224,E$2,FALSE)</f>
        <v>2</v>
      </c>
      <c r="F151" s="587" t="str">
        <f>IF(VLOOKUP($A151,'Pre-Assessment Estimator'!$A$10:$Z$224,F$2,FALSE)=0,"",VLOOKUP($A151,'Pre-Assessment Estimator'!$A$10:$Z$224,F$2,FALSE))</f>
        <v/>
      </c>
      <c r="G151" s="1239">
        <f>VLOOKUP($A151,'Pre-Assessment Estimator'!$A$10:$Z$224,G$2,FALSE)</f>
        <v>0</v>
      </c>
      <c r="H151" s="583" t="str">
        <f>VLOOKUP($A151,'Pre-Assessment Estimator'!$A$10:$Z$224,H$2,FALSE)</f>
        <v>Unclassified</v>
      </c>
      <c r="I151" s="584" t="str">
        <f>IF(VLOOKUP($A151,'Pre-Assessment Estimator'!$A$10:$Z$224,I$2,FALSE)=0,"",VLOOKUP($A151,'Pre-Assessment Estimator'!$A$10:$Z$224,I$2,FALSE))</f>
        <v/>
      </c>
      <c r="J151" s="584" t="str">
        <f>IF(VLOOKUP($A151,'Pre-Assessment Estimator'!$A$10:$Z$224,J$2,FALSE)=0,"",VLOOKUP($A151,'Pre-Assessment Estimator'!$A$10:$Z$224,J$2,FALSE))</f>
        <v/>
      </c>
      <c r="K151" s="585" t="str">
        <f>IF(VLOOKUP($A151,'Pre-Assessment Estimator'!$A$10:$Z$224,K$2,FALSE)=0,"",VLOOKUP($A151,'Pre-Assessment Estimator'!$A$10:$Z$224,K$2,FALSE))</f>
        <v/>
      </c>
      <c r="L151" s="586"/>
      <c r="M151" s="587" t="str">
        <f>IF(VLOOKUP($A151,'Pre-Assessment Estimator'!$A$10:$Z$224,M$2,FALSE)=0,"",VLOOKUP($A151,'Pre-Assessment Estimator'!$A$10:$Z$224,M$2,FALSE))</f>
        <v/>
      </c>
      <c r="N151" s="582">
        <f>VLOOKUP($A151,'Pre-Assessment Estimator'!$A$10:$Z$224,N$2,FALSE)</f>
        <v>0</v>
      </c>
      <c r="O151" s="581" t="str">
        <f>VLOOKUP($A151,'Pre-Assessment Estimator'!$A$10:$Z$224,O$2,FALSE)</f>
        <v>Unclassified</v>
      </c>
      <c r="P151" s="584" t="str">
        <f>IF(VLOOKUP($A151,'Pre-Assessment Estimator'!$A$10:$Z$224,P$2,FALSE)=0,"",VLOOKUP($A151,'Pre-Assessment Estimator'!$A$10:$Z$224,P$2,FALSE))</f>
        <v/>
      </c>
      <c r="Q151" s="584" t="str">
        <f>IF(VLOOKUP($A151,'Pre-Assessment Estimator'!$A$10:$Z$224,Q$2,FALSE)=0,"",VLOOKUP($A151,'Pre-Assessment Estimator'!$A$10:$Z$224,Q$2,FALSE))</f>
        <v/>
      </c>
      <c r="R151" s="585" t="str">
        <f>IF(VLOOKUP($A151,'Pre-Assessment Estimator'!$A$10:$Z$224,R$2,FALSE)=0,"",VLOOKUP($A151,'Pre-Assessment Estimator'!$A$10:$Z$224,R$2,FALSE))</f>
        <v/>
      </c>
      <c r="S151" s="588"/>
      <c r="T151" s="587" t="str">
        <f>IF(VLOOKUP($A151,'Pre-Assessment Estimator'!$A$10:$Z$224,T$2,FALSE)=0,"",VLOOKUP($A151,'Pre-Assessment Estimator'!$A$10:$Z$224,T$2,FALSE))</f>
        <v/>
      </c>
      <c r="U151" s="582">
        <f>VLOOKUP($A151,'Pre-Assessment Estimator'!$A$10:$Z$224,U$2,FALSE)</f>
        <v>0</v>
      </c>
      <c r="V151" s="581" t="str">
        <f>VLOOKUP($A151,'Pre-Assessment Estimator'!$A$10:$Z$224,V$2,FALSE)</f>
        <v>Unclassified</v>
      </c>
      <c r="W151" s="584" t="str">
        <f>IF(VLOOKUP($A151,'Pre-Assessment Estimator'!$A$10:$Z$224,W$2,FALSE)=0,"",VLOOKUP($A151,'Pre-Assessment Estimator'!$A$10:$Z$224,W$2,FALSE))</f>
        <v/>
      </c>
      <c r="X151" s="584" t="str">
        <f>IF(VLOOKUP($A151,'Pre-Assessment Estimator'!$A$10:$Z$224,X$2,FALSE)=0,"",VLOOKUP($A151,'Pre-Assessment Estimator'!$A$10:$Z$224,X$2,FALSE))</f>
        <v/>
      </c>
      <c r="Y151" s="370" t="str">
        <f>IF(VLOOKUP($A151,'Pre-Assessment Estimator'!$A$10:$Z$224,Y$2,FALSE)=0,"",VLOOKUP($A151,'Pre-Assessment Estimator'!$A$10:$Z$224,Y$2,FALSE))</f>
        <v/>
      </c>
      <c r="Z151" s="705"/>
      <c r="AA151" s="584"/>
      <c r="AE151" s="386">
        <f t="shared" si="2"/>
        <v>1</v>
      </c>
      <c r="AF151" s="95" t="e">
        <f>VLOOKUP(J151,'Assessment Details'!$O$45:$P$48,2,FALSE)</f>
        <v>#N/A</v>
      </c>
      <c r="AG151" s="95" t="e">
        <f>VLOOKUP(Q151,'Assessment Details'!$O$45:$P$48,2,FALSE)</f>
        <v>#N/A</v>
      </c>
      <c r="AH151" s="95" t="e">
        <f>VLOOKUP(X151,'Assessment Details'!$O$45:$P$48,2,FALSE)</f>
        <v>#N/A</v>
      </c>
    </row>
    <row r="152" spans="1:34" x14ac:dyDescent="0.25">
      <c r="A152" s="836">
        <v>143</v>
      </c>
      <c r="B152" s="1262"/>
      <c r="C152" s="1262"/>
      <c r="D152" s="340" t="str">
        <f>VLOOKUP($A152,'Pre-Assessment Estimator'!$A$10:$Z$224,D$2,FALSE)</f>
        <v>Minimum req: waste sorting ≥75%</v>
      </c>
      <c r="E152" s="581" t="str">
        <f>VLOOKUP($A152,'Pre-Assessment Estimator'!$A$10:$Z$224,E$2,FALSE)</f>
        <v>Yes/No</v>
      </c>
      <c r="F152" s="587" t="str">
        <f>IF(VLOOKUP($A152,'Pre-Assessment Estimator'!$A$10:$Z$224,F$2,FALSE)=0,"",VLOOKUP($A152,'Pre-Assessment Estimator'!$A$10:$Z$224,F$2,FALSE))</f>
        <v/>
      </c>
      <c r="G152" s="1239" t="str">
        <f>VLOOKUP($A152,'Pre-Assessment Estimator'!$A$10:$Z$224,G$2,FALSE)</f>
        <v>-</v>
      </c>
      <c r="H152" s="583" t="str">
        <f>VLOOKUP($A152,'Pre-Assessment Estimator'!$A$10:$Z$224,H$2,FALSE)</f>
        <v>Unclassified</v>
      </c>
      <c r="I152" s="584" t="str">
        <f>IF(VLOOKUP($A152,'Pre-Assessment Estimator'!$A$10:$Z$224,I$2,FALSE)=0,"",VLOOKUP($A152,'Pre-Assessment Estimator'!$A$10:$Z$224,I$2,FALSE))</f>
        <v/>
      </c>
      <c r="J152" s="584" t="str">
        <f>IF(VLOOKUP($A152,'Pre-Assessment Estimator'!$A$10:$Z$224,J$2,FALSE)=0,"",VLOOKUP($A152,'Pre-Assessment Estimator'!$A$10:$Z$224,J$2,FALSE))</f>
        <v xml:space="preserve"> </v>
      </c>
      <c r="K152" s="585" t="str">
        <f>IF(VLOOKUP($A152,'Pre-Assessment Estimator'!$A$10:$Z$224,K$2,FALSE)=0,"",VLOOKUP($A152,'Pre-Assessment Estimator'!$A$10:$Z$224,K$2,FALSE))</f>
        <v/>
      </c>
      <c r="L152" s="586"/>
      <c r="M152" s="587" t="str">
        <f>IF(VLOOKUP($A152,'Pre-Assessment Estimator'!$A$10:$Z$224,M$2,FALSE)=0,"",VLOOKUP($A152,'Pre-Assessment Estimator'!$A$10:$Z$224,M$2,FALSE))</f>
        <v/>
      </c>
      <c r="N152" s="582" t="str">
        <f>VLOOKUP($A152,'Pre-Assessment Estimator'!$A$10:$Z$224,N$2,FALSE)</f>
        <v>-</v>
      </c>
      <c r="O152" s="581" t="str">
        <f>VLOOKUP($A152,'Pre-Assessment Estimator'!$A$10:$Z$224,O$2,FALSE)</f>
        <v>Unclassified</v>
      </c>
      <c r="P152" s="584" t="str">
        <f>IF(VLOOKUP($A152,'Pre-Assessment Estimator'!$A$10:$Z$224,P$2,FALSE)=0,"",VLOOKUP($A152,'Pre-Assessment Estimator'!$A$10:$Z$224,P$2,FALSE))</f>
        <v/>
      </c>
      <c r="Q152" s="584" t="str">
        <f>IF(VLOOKUP($A152,'Pre-Assessment Estimator'!$A$10:$Z$224,Q$2,FALSE)=0,"",VLOOKUP($A152,'Pre-Assessment Estimator'!$A$10:$Z$224,Q$2,FALSE))</f>
        <v/>
      </c>
      <c r="R152" s="585" t="str">
        <f>IF(VLOOKUP($A152,'Pre-Assessment Estimator'!$A$10:$Z$224,R$2,FALSE)=0,"",VLOOKUP($A152,'Pre-Assessment Estimator'!$A$10:$Z$224,R$2,FALSE))</f>
        <v/>
      </c>
      <c r="S152" s="588"/>
      <c r="T152" s="587" t="str">
        <f>IF(VLOOKUP($A152,'Pre-Assessment Estimator'!$A$10:$Z$224,T$2,FALSE)=0,"",VLOOKUP($A152,'Pre-Assessment Estimator'!$A$10:$Z$224,T$2,FALSE))</f>
        <v/>
      </c>
      <c r="U152" s="582" t="str">
        <f>VLOOKUP($A152,'Pre-Assessment Estimator'!$A$10:$Z$224,U$2,FALSE)</f>
        <v>-</v>
      </c>
      <c r="V152" s="581" t="str">
        <f>VLOOKUP($A152,'Pre-Assessment Estimator'!$A$10:$Z$224,V$2,FALSE)</f>
        <v>Unclassified</v>
      </c>
      <c r="W152" s="584" t="str">
        <f>IF(VLOOKUP($A152,'Pre-Assessment Estimator'!$A$10:$Z$224,W$2,FALSE)=0,"",VLOOKUP($A152,'Pre-Assessment Estimator'!$A$10:$Z$224,W$2,FALSE))</f>
        <v/>
      </c>
      <c r="X152" s="584" t="str">
        <f>IF(VLOOKUP($A152,'Pre-Assessment Estimator'!$A$10:$Z$224,X$2,FALSE)=0,"",VLOOKUP($A152,'Pre-Assessment Estimator'!$A$10:$Z$224,X$2,FALSE))</f>
        <v/>
      </c>
      <c r="Y152" s="370" t="str">
        <f>IF(VLOOKUP($A152,'Pre-Assessment Estimator'!$A$10:$Z$224,Y$2,FALSE)=0,"",VLOOKUP($A152,'Pre-Assessment Estimator'!$A$10:$Z$224,Y$2,FALSE))</f>
        <v/>
      </c>
      <c r="Z152" s="705"/>
      <c r="AA152" s="584"/>
      <c r="AE152" s="386">
        <f t="shared" si="2"/>
        <v>1</v>
      </c>
      <c r="AF152" s="95">
        <f>VLOOKUP(J152,'Assessment Details'!$O$45:$P$48,2,FALSE)</f>
        <v>4</v>
      </c>
      <c r="AG152" s="95" t="e">
        <f>VLOOKUP(Q152,'Assessment Details'!$O$45:$P$48,2,FALSE)</f>
        <v>#N/A</v>
      </c>
      <c r="AH152" s="95" t="e">
        <f>VLOOKUP(X152,'Assessment Details'!$O$45:$P$48,2,FALSE)</f>
        <v>#N/A</v>
      </c>
    </row>
    <row r="153" spans="1:34" x14ac:dyDescent="0.25">
      <c r="A153" s="836">
        <v>144</v>
      </c>
      <c r="B153" s="1262"/>
      <c r="C153" s="1262"/>
      <c r="D153" s="993" t="str">
        <f>VLOOKUP($A153,'Pre-Assessment Estimator'!$A$10:$Z$224,D$2,FALSE)</f>
        <v>Wst 03a Operational waste</v>
      </c>
      <c r="E153" s="581">
        <f>VLOOKUP($A153,'Pre-Assessment Estimator'!$A$10:$Z$224,E$2,FALSE)</f>
        <v>1</v>
      </c>
      <c r="F153" s="587" t="str">
        <f>IF(VLOOKUP($A153,'Pre-Assessment Estimator'!$A$10:$Z$224,F$2,FALSE)=0,"",VLOOKUP($A153,'Pre-Assessment Estimator'!$A$10:$Z$224,F$2,FALSE))</f>
        <v/>
      </c>
      <c r="G153" s="1239" t="str">
        <f>VLOOKUP($A153,'Pre-Assessment Estimator'!$A$10:$Z$224,G$2,FALSE)</f>
        <v>0 c. 0 %</v>
      </c>
      <c r="H153" s="583" t="str">
        <f>VLOOKUP($A153,'Pre-Assessment Estimator'!$A$10:$Z$224,H$2,FALSE)</f>
        <v>N/A</v>
      </c>
      <c r="I153" s="584" t="str">
        <f>IF(VLOOKUP($A153,'Pre-Assessment Estimator'!$A$10:$Z$224,I$2,FALSE)=0,"",VLOOKUP($A153,'Pre-Assessment Estimator'!$A$10:$Z$224,I$2,FALSE))</f>
        <v/>
      </c>
      <c r="J153" s="584" t="str">
        <f>IF(VLOOKUP($A153,'Pre-Assessment Estimator'!$A$10:$Z$224,J$2,FALSE)=0,"",VLOOKUP($A153,'Pre-Assessment Estimator'!$A$10:$Z$224,J$2,FALSE))</f>
        <v/>
      </c>
      <c r="K153" s="585" t="str">
        <f>IF(VLOOKUP($A153,'Pre-Assessment Estimator'!$A$10:$Z$224,K$2,FALSE)=0,"",VLOOKUP($A153,'Pre-Assessment Estimator'!$A$10:$Z$224,K$2,FALSE))</f>
        <v/>
      </c>
      <c r="L153" s="586"/>
      <c r="M153" s="587" t="str">
        <f>IF(VLOOKUP($A153,'Pre-Assessment Estimator'!$A$10:$Z$224,M$2,FALSE)=0,"",VLOOKUP($A153,'Pre-Assessment Estimator'!$A$10:$Z$224,M$2,FALSE))</f>
        <v/>
      </c>
      <c r="N153" s="582" t="str">
        <f>VLOOKUP($A153,'Pre-Assessment Estimator'!$A$10:$Z$224,N$2,FALSE)</f>
        <v>0 c. 0 %</v>
      </c>
      <c r="O153" s="581" t="str">
        <f>VLOOKUP($A153,'Pre-Assessment Estimator'!$A$10:$Z$224,O$2,FALSE)</f>
        <v>N/A</v>
      </c>
      <c r="P153" s="584" t="str">
        <f>IF(VLOOKUP($A153,'Pre-Assessment Estimator'!$A$10:$Z$224,P$2,FALSE)=0,"",VLOOKUP($A153,'Pre-Assessment Estimator'!$A$10:$Z$224,P$2,FALSE))</f>
        <v/>
      </c>
      <c r="Q153" s="584" t="str">
        <f>IF(VLOOKUP($A153,'Pre-Assessment Estimator'!$A$10:$Z$224,Q$2,FALSE)=0,"",VLOOKUP($A153,'Pre-Assessment Estimator'!$A$10:$Z$224,Q$2,FALSE))</f>
        <v/>
      </c>
      <c r="R153" s="585" t="str">
        <f>IF(VLOOKUP($A153,'Pre-Assessment Estimator'!$A$10:$Z$224,R$2,FALSE)=0,"",VLOOKUP($A153,'Pre-Assessment Estimator'!$A$10:$Z$224,R$2,FALSE))</f>
        <v/>
      </c>
      <c r="S153" s="588"/>
      <c r="T153" s="587" t="str">
        <f>IF(VLOOKUP($A153,'Pre-Assessment Estimator'!$A$10:$Z$224,T$2,FALSE)=0,"",VLOOKUP($A153,'Pre-Assessment Estimator'!$A$10:$Z$224,T$2,FALSE))</f>
        <v/>
      </c>
      <c r="U153" s="582" t="str">
        <f>VLOOKUP($A153,'Pre-Assessment Estimator'!$A$10:$Z$224,U$2,FALSE)</f>
        <v>0 c. 0 %</v>
      </c>
      <c r="V153" s="581" t="str">
        <f>VLOOKUP($A153,'Pre-Assessment Estimator'!$A$10:$Z$224,V$2,FALSE)</f>
        <v>N/A</v>
      </c>
      <c r="W153" s="584" t="str">
        <f>IF(VLOOKUP($A153,'Pre-Assessment Estimator'!$A$10:$Z$224,W$2,FALSE)=0,"",VLOOKUP($A153,'Pre-Assessment Estimator'!$A$10:$Z$224,W$2,FALSE))</f>
        <v/>
      </c>
      <c r="X153" s="584" t="str">
        <f>IF(VLOOKUP($A153,'Pre-Assessment Estimator'!$A$10:$Z$224,X$2,FALSE)=0,"",VLOOKUP($A153,'Pre-Assessment Estimator'!$A$10:$Z$224,X$2,FALSE))</f>
        <v/>
      </c>
      <c r="Y153" s="370" t="str">
        <f>IF(VLOOKUP($A153,'Pre-Assessment Estimator'!$A$10:$Z$224,Y$2,FALSE)=0,"",VLOOKUP($A153,'Pre-Assessment Estimator'!$A$10:$Z$224,Y$2,FALSE))</f>
        <v/>
      </c>
      <c r="Z153" s="705"/>
      <c r="AA153" s="584"/>
      <c r="AE153" s="386">
        <f t="shared" si="2"/>
        <v>1</v>
      </c>
      <c r="AF153" s="95" t="e">
        <f>VLOOKUP(J153,'Assessment Details'!$O$45:$P$48,2,FALSE)</f>
        <v>#N/A</v>
      </c>
      <c r="AG153" s="95" t="e">
        <f>VLOOKUP(Q153,'Assessment Details'!$O$45:$P$48,2,FALSE)</f>
        <v>#N/A</v>
      </c>
      <c r="AH153" s="95" t="e">
        <f>VLOOKUP(X153,'Assessment Details'!$O$45:$P$48,2,FALSE)</f>
        <v>#N/A</v>
      </c>
    </row>
    <row r="154" spans="1:34" x14ac:dyDescent="0.25">
      <c r="A154" s="836">
        <v>145</v>
      </c>
      <c r="B154" s="1262"/>
      <c r="C154" s="1262"/>
      <c r="D154" s="340" t="str">
        <f>VLOOKUP($A154,'Pre-Assessment Estimator'!$A$10:$Z$224,D$2,FALSE)</f>
        <v>Operational waste</v>
      </c>
      <c r="E154" s="581">
        <f>VLOOKUP($A154,'Pre-Assessment Estimator'!$A$10:$Z$224,E$2,FALSE)</f>
        <v>1</v>
      </c>
      <c r="F154" s="587" t="str">
        <f>IF(VLOOKUP($A154,'Pre-Assessment Estimator'!$A$10:$Z$224,F$2,FALSE)=0,"",VLOOKUP($A154,'Pre-Assessment Estimator'!$A$10:$Z$224,F$2,FALSE))</f>
        <v/>
      </c>
      <c r="G154" s="1239">
        <f>VLOOKUP($A154,'Pre-Assessment Estimator'!$A$10:$Z$224,G$2,FALSE)</f>
        <v>0</v>
      </c>
      <c r="H154" s="583" t="str">
        <f>VLOOKUP($A154,'Pre-Assessment Estimator'!$A$10:$Z$224,H$2,FALSE)</f>
        <v>Very Good</v>
      </c>
      <c r="I154" s="584" t="str">
        <f>IF(VLOOKUP($A154,'Pre-Assessment Estimator'!$A$10:$Z$224,I$2,FALSE)=0,"",VLOOKUP($A154,'Pre-Assessment Estimator'!$A$10:$Z$224,I$2,FALSE))</f>
        <v/>
      </c>
      <c r="J154" s="584" t="str">
        <f>IF(VLOOKUP($A154,'Pre-Assessment Estimator'!$A$10:$Z$224,J$2,FALSE)=0,"",VLOOKUP($A154,'Pre-Assessment Estimator'!$A$10:$Z$224,J$2,FALSE))</f>
        <v/>
      </c>
      <c r="K154" s="585" t="str">
        <f>IF(VLOOKUP($A154,'Pre-Assessment Estimator'!$A$10:$Z$224,K$2,FALSE)=0,"",VLOOKUP($A154,'Pre-Assessment Estimator'!$A$10:$Z$224,K$2,FALSE))</f>
        <v/>
      </c>
      <c r="L154" s="586"/>
      <c r="M154" s="587" t="str">
        <f>IF(VLOOKUP($A154,'Pre-Assessment Estimator'!$A$10:$Z$224,M$2,FALSE)=0,"",VLOOKUP($A154,'Pre-Assessment Estimator'!$A$10:$Z$224,M$2,FALSE))</f>
        <v/>
      </c>
      <c r="N154" s="582">
        <f>VLOOKUP($A154,'Pre-Assessment Estimator'!$A$10:$Z$224,N$2,FALSE)</f>
        <v>0</v>
      </c>
      <c r="O154" s="581" t="str">
        <f>VLOOKUP($A154,'Pre-Assessment Estimator'!$A$10:$Z$224,O$2,FALSE)</f>
        <v>Very Good</v>
      </c>
      <c r="P154" s="584" t="str">
        <f>IF(VLOOKUP($A154,'Pre-Assessment Estimator'!$A$10:$Z$224,P$2,FALSE)=0,"",VLOOKUP($A154,'Pre-Assessment Estimator'!$A$10:$Z$224,P$2,FALSE))</f>
        <v/>
      </c>
      <c r="Q154" s="584" t="str">
        <f>IF(VLOOKUP($A154,'Pre-Assessment Estimator'!$A$10:$Z$224,Q$2,FALSE)=0,"",VLOOKUP($A154,'Pre-Assessment Estimator'!$A$10:$Z$224,Q$2,FALSE))</f>
        <v/>
      </c>
      <c r="R154" s="585" t="str">
        <f>IF(VLOOKUP($A154,'Pre-Assessment Estimator'!$A$10:$Z$224,R$2,FALSE)=0,"",VLOOKUP($A154,'Pre-Assessment Estimator'!$A$10:$Z$224,R$2,FALSE))</f>
        <v/>
      </c>
      <c r="S154" s="588"/>
      <c r="T154" s="587" t="str">
        <f>IF(VLOOKUP($A154,'Pre-Assessment Estimator'!$A$10:$Z$224,T$2,FALSE)=0,"",VLOOKUP($A154,'Pre-Assessment Estimator'!$A$10:$Z$224,T$2,FALSE))</f>
        <v/>
      </c>
      <c r="U154" s="582">
        <f>VLOOKUP($A154,'Pre-Assessment Estimator'!$A$10:$Z$224,U$2,FALSE)</f>
        <v>0</v>
      </c>
      <c r="V154" s="581" t="str">
        <f>VLOOKUP($A154,'Pre-Assessment Estimator'!$A$10:$Z$224,V$2,FALSE)</f>
        <v>Very Good</v>
      </c>
      <c r="W154" s="584" t="str">
        <f>IF(VLOOKUP($A154,'Pre-Assessment Estimator'!$A$10:$Z$224,W$2,FALSE)=0,"",VLOOKUP($A154,'Pre-Assessment Estimator'!$A$10:$Z$224,W$2,FALSE))</f>
        <v/>
      </c>
      <c r="X154" s="584" t="str">
        <f>IF(VLOOKUP($A154,'Pre-Assessment Estimator'!$A$10:$Z$224,X$2,FALSE)=0,"",VLOOKUP($A154,'Pre-Assessment Estimator'!$A$10:$Z$224,X$2,FALSE))</f>
        <v/>
      </c>
      <c r="Y154" s="370" t="str">
        <f>IF(VLOOKUP($A154,'Pre-Assessment Estimator'!$A$10:$Z$224,Y$2,FALSE)=0,"",VLOOKUP($A154,'Pre-Assessment Estimator'!$A$10:$Z$224,Y$2,FALSE))</f>
        <v/>
      </c>
      <c r="Z154" s="705"/>
      <c r="AA154" s="584"/>
      <c r="AE154" s="386">
        <f t="shared" si="2"/>
        <v>1</v>
      </c>
      <c r="AF154" s="95" t="e">
        <f>VLOOKUP(J154,'Assessment Details'!$O$45:$P$48,2,FALSE)</f>
        <v>#N/A</v>
      </c>
      <c r="AG154" s="95" t="e">
        <f>VLOOKUP(Q154,'Assessment Details'!$O$45:$P$48,2,FALSE)</f>
        <v>#N/A</v>
      </c>
      <c r="AH154" s="95" t="e">
        <f>VLOOKUP(X154,'Assessment Details'!$O$45:$P$48,2,FALSE)</f>
        <v>#N/A</v>
      </c>
    </row>
    <row r="155" spans="1:34" x14ac:dyDescent="0.25">
      <c r="A155" s="836">
        <v>146</v>
      </c>
      <c r="B155" s="1262"/>
      <c r="C155" s="1262"/>
      <c r="D155" s="993" t="str">
        <f>VLOOKUP($A155,'Pre-Assessment Estimator'!$A$10:$Z$224,D$2,FALSE)</f>
        <v>Wst 03b Operational waste</v>
      </c>
      <c r="E155" s="581">
        <f>VLOOKUP($A155,'Pre-Assessment Estimator'!$A$10:$Z$224,E$2,FALSE)</f>
        <v>0</v>
      </c>
      <c r="F155" s="587" t="str">
        <f>IF(VLOOKUP($A155,'Pre-Assessment Estimator'!$A$10:$Z$224,F$2,FALSE)=0,"",VLOOKUP($A155,'Pre-Assessment Estimator'!$A$10:$Z$224,F$2,FALSE))</f>
        <v/>
      </c>
      <c r="G155" s="1239" t="str">
        <f>VLOOKUP($A155,'Pre-Assessment Estimator'!$A$10:$Z$224,G$2,FALSE)</f>
        <v>0 c. 0 %</v>
      </c>
      <c r="H155" s="583" t="str">
        <f>VLOOKUP($A155,'Pre-Assessment Estimator'!$A$10:$Z$224,H$2,FALSE)</f>
        <v>N/A</v>
      </c>
      <c r="I155" s="584" t="str">
        <f>IF(VLOOKUP($A155,'Pre-Assessment Estimator'!$A$10:$Z$224,I$2,FALSE)=0,"",VLOOKUP($A155,'Pre-Assessment Estimator'!$A$10:$Z$224,I$2,FALSE))</f>
        <v/>
      </c>
      <c r="J155" s="584" t="str">
        <f>IF(VLOOKUP($A155,'Pre-Assessment Estimator'!$A$10:$Z$224,J$2,FALSE)=0,"",VLOOKUP($A155,'Pre-Assessment Estimator'!$A$10:$Z$224,J$2,FALSE))</f>
        <v/>
      </c>
      <c r="K155" s="585" t="str">
        <f>IF(VLOOKUP($A155,'Pre-Assessment Estimator'!$A$10:$Z$224,K$2,FALSE)=0,"",VLOOKUP($A155,'Pre-Assessment Estimator'!$A$10:$Z$224,K$2,FALSE))</f>
        <v/>
      </c>
      <c r="L155" s="586"/>
      <c r="M155" s="587" t="str">
        <f>IF(VLOOKUP($A155,'Pre-Assessment Estimator'!$A$10:$Z$224,M$2,FALSE)=0,"",VLOOKUP($A155,'Pre-Assessment Estimator'!$A$10:$Z$224,M$2,FALSE))</f>
        <v/>
      </c>
      <c r="N155" s="582" t="str">
        <f>VLOOKUP($A155,'Pre-Assessment Estimator'!$A$10:$Z$224,N$2,FALSE)</f>
        <v>0 c. 0 %</v>
      </c>
      <c r="O155" s="581" t="str">
        <f>VLOOKUP($A155,'Pre-Assessment Estimator'!$A$10:$Z$224,O$2,FALSE)</f>
        <v>N/A</v>
      </c>
      <c r="P155" s="584" t="str">
        <f>IF(VLOOKUP($A155,'Pre-Assessment Estimator'!$A$10:$Z$224,P$2,FALSE)=0,"",VLOOKUP($A155,'Pre-Assessment Estimator'!$A$10:$Z$224,P$2,FALSE))</f>
        <v/>
      </c>
      <c r="Q155" s="584" t="str">
        <f>IF(VLOOKUP($A155,'Pre-Assessment Estimator'!$A$10:$Z$224,Q$2,FALSE)=0,"",VLOOKUP($A155,'Pre-Assessment Estimator'!$A$10:$Z$224,Q$2,FALSE))</f>
        <v/>
      </c>
      <c r="R155" s="585" t="str">
        <f>IF(VLOOKUP($A155,'Pre-Assessment Estimator'!$A$10:$Z$224,R$2,FALSE)=0,"",VLOOKUP($A155,'Pre-Assessment Estimator'!$A$10:$Z$224,R$2,FALSE))</f>
        <v/>
      </c>
      <c r="S155" s="588"/>
      <c r="T155" s="587" t="str">
        <f>IF(VLOOKUP($A155,'Pre-Assessment Estimator'!$A$10:$Z$224,T$2,FALSE)=0,"",VLOOKUP($A155,'Pre-Assessment Estimator'!$A$10:$Z$224,T$2,FALSE))</f>
        <v/>
      </c>
      <c r="U155" s="582" t="str">
        <f>VLOOKUP($A155,'Pre-Assessment Estimator'!$A$10:$Z$224,U$2,FALSE)</f>
        <v>0 c. 0 %</v>
      </c>
      <c r="V155" s="581" t="str">
        <f>VLOOKUP($A155,'Pre-Assessment Estimator'!$A$10:$Z$224,V$2,FALSE)</f>
        <v>N/A</v>
      </c>
      <c r="W155" s="584" t="str">
        <f>IF(VLOOKUP($A155,'Pre-Assessment Estimator'!$A$10:$Z$224,W$2,FALSE)=0,"",VLOOKUP($A155,'Pre-Assessment Estimator'!$A$10:$Z$224,W$2,FALSE))</f>
        <v/>
      </c>
      <c r="X155" s="584" t="str">
        <f>IF(VLOOKUP($A155,'Pre-Assessment Estimator'!$A$10:$Z$224,X$2,FALSE)=0,"",VLOOKUP($A155,'Pre-Assessment Estimator'!$A$10:$Z$224,X$2,FALSE))</f>
        <v/>
      </c>
      <c r="Y155" s="370" t="str">
        <f>IF(VLOOKUP($A155,'Pre-Assessment Estimator'!$A$10:$Z$224,Y$2,FALSE)=0,"",VLOOKUP($A155,'Pre-Assessment Estimator'!$A$10:$Z$224,Y$2,FALSE))</f>
        <v/>
      </c>
      <c r="Z155" s="705"/>
      <c r="AA155" s="584"/>
      <c r="AE155" s="386">
        <f t="shared" si="2"/>
        <v>2</v>
      </c>
      <c r="AF155" s="95" t="e">
        <f>VLOOKUP(J155,'Assessment Details'!$O$45:$P$48,2,FALSE)</f>
        <v>#N/A</v>
      </c>
      <c r="AG155" s="95" t="e">
        <f>VLOOKUP(Q155,'Assessment Details'!$O$45:$P$48,2,FALSE)</f>
        <v>#N/A</v>
      </c>
      <c r="AH155" s="95" t="e">
        <f>VLOOKUP(X155,'Assessment Details'!$O$45:$P$48,2,FALSE)</f>
        <v>#N/A</v>
      </c>
    </row>
    <row r="156" spans="1:34" ht="15.75" thickBot="1" x14ac:dyDescent="0.3">
      <c r="A156" s="836">
        <v>147</v>
      </c>
      <c r="B156" s="1262" t="s">
        <v>71</v>
      </c>
      <c r="C156" s="1262"/>
      <c r="D156" s="340" t="str">
        <f>VLOOKUP($A156,'Pre-Assessment Estimator'!$A$10:$Z$224,D$2,FALSE)</f>
        <v>Sorting of waste</v>
      </c>
      <c r="E156" s="581">
        <f>VLOOKUP($A156,'Pre-Assessment Estimator'!$A$10:$Z$224,E$2,FALSE)</f>
        <v>0</v>
      </c>
      <c r="F156" s="587" t="str">
        <f>IF(VLOOKUP($A156,'Pre-Assessment Estimator'!$A$10:$Z$224,F$2,FALSE)=0,"",VLOOKUP($A156,'Pre-Assessment Estimator'!$A$10:$Z$224,F$2,FALSE))</f>
        <v/>
      </c>
      <c r="G156" s="1239">
        <f>VLOOKUP($A156,'Pre-Assessment Estimator'!$A$10:$Z$224,G$2,FALSE)</f>
        <v>0</v>
      </c>
      <c r="H156" s="583" t="str">
        <f>VLOOKUP($A156,'Pre-Assessment Estimator'!$A$10:$Z$224,H$2,FALSE)</f>
        <v>N/A</v>
      </c>
      <c r="I156" s="584" t="str">
        <f>IF(VLOOKUP($A156,'Pre-Assessment Estimator'!$A$10:$Z$224,I$2,FALSE)=0,"",VLOOKUP($A156,'Pre-Assessment Estimator'!$A$10:$Z$224,I$2,FALSE))</f>
        <v/>
      </c>
      <c r="J156" s="584" t="str">
        <f>IF(VLOOKUP($A156,'Pre-Assessment Estimator'!$A$10:$Z$224,J$2,FALSE)=0,"",VLOOKUP($A156,'Pre-Assessment Estimator'!$A$10:$Z$224,J$2,FALSE))</f>
        <v/>
      </c>
      <c r="K156" s="585" t="str">
        <f>IF(VLOOKUP($A156,'Pre-Assessment Estimator'!$A$10:$Z$224,K$2,FALSE)=0,"",VLOOKUP($A156,'Pre-Assessment Estimator'!$A$10:$Z$224,K$2,FALSE))</f>
        <v/>
      </c>
      <c r="L156" s="586"/>
      <c r="M156" s="587" t="str">
        <f>IF(VLOOKUP($A156,'Pre-Assessment Estimator'!$A$10:$Z$224,M$2,FALSE)=0,"",VLOOKUP($A156,'Pre-Assessment Estimator'!$A$10:$Z$224,M$2,FALSE))</f>
        <v/>
      </c>
      <c r="N156" s="582">
        <f>VLOOKUP($A156,'Pre-Assessment Estimator'!$A$10:$Z$224,N$2,FALSE)</f>
        <v>0</v>
      </c>
      <c r="O156" s="581" t="str">
        <f>VLOOKUP($A156,'Pre-Assessment Estimator'!$A$10:$Z$224,O$2,FALSE)</f>
        <v>N/A</v>
      </c>
      <c r="P156" s="584" t="str">
        <f>IF(VLOOKUP($A156,'Pre-Assessment Estimator'!$A$10:$Z$224,P$2,FALSE)=0,"",VLOOKUP($A156,'Pre-Assessment Estimator'!$A$10:$Z$224,P$2,FALSE))</f>
        <v/>
      </c>
      <c r="Q156" s="584" t="str">
        <f>IF(VLOOKUP($A156,'Pre-Assessment Estimator'!$A$10:$Z$224,Q$2,FALSE)=0,"",VLOOKUP($A156,'Pre-Assessment Estimator'!$A$10:$Z$224,Q$2,FALSE))</f>
        <v/>
      </c>
      <c r="R156" s="585" t="str">
        <f>IF(VLOOKUP($A156,'Pre-Assessment Estimator'!$A$10:$Z$224,R$2,FALSE)=0,"",VLOOKUP($A156,'Pre-Assessment Estimator'!$A$10:$Z$224,R$2,FALSE))</f>
        <v/>
      </c>
      <c r="S156" s="588"/>
      <c r="T156" s="587" t="str">
        <f>IF(VLOOKUP($A156,'Pre-Assessment Estimator'!$A$10:$Z$224,T$2,FALSE)=0,"",VLOOKUP($A156,'Pre-Assessment Estimator'!$A$10:$Z$224,T$2,FALSE))</f>
        <v/>
      </c>
      <c r="U156" s="582">
        <f>VLOOKUP($A156,'Pre-Assessment Estimator'!$A$10:$Z$224,U$2,FALSE)</f>
        <v>0</v>
      </c>
      <c r="V156" s="581" t="str">
        <f>VLOOKUP($A156,'Pre-Assessment Estimator'!$A$10:$Z$224,V$2,FALSE)</f>
        <v>N/A</v>
      </c>
      <c r="W156" s="584" t="str">
        <f>IF(VLOOKUP($A156,'Pre-Assessment Estimator'!$A$10:$Z$224,W$2,FALSE)=0,"",VLOOKUP($A156,'Pre-Assessment Estimator'!$A$10:$Z$224,W$2,FALSE))</f>
        <v/>
      </c>
      <c r="X156" s="584" t="str">
        <f>IF(VLOOKUP($A156,'Pre-Assessment Estimator'!$A$10:$Z$224,X$2,FALSE)=0,"",VLOOKUP($A156,'Pre-Assessment Estimator'!$A$10:$Z$224,X$2,FALSE))</f>
        <v/>
      </c>
      <c r="Y156" s="370" t="str">
        <f>IF(VLOOKUP($A156,'Pre-Assessment Estimator'!$A$10:$Z$224,Y$2,FALSE)=0,"",VLOOKUP($A156,'Pre-Assessment Estimator'!$A$10:$Z$224,Y$2,FALSE))</f>
        <v/>
      </c>
      <c r="Z156" s="705"/>
      <c r="AA156" s="584" t="str">
        <f>IF(VLOOKUP($A156,'Pre-Assessment Estimator'!$A$10:$AB$224,AA$2,FALSE)=0,"",VLOOKUP($A156,'Pre-Assessment Estimator'!$A$10:$AB$224,AA$2,FALSE))</f>
        <v/>
      </c>
      <c r="AE156" s="386">
        <f t="shared" si="2"/>
        <v>2</v>
      </c>
      <c r="AF156" s="276">
        <v>0</v>
      </c>
      <c r="AG156" s="276">
        <v>0</v>
      </c>
      <c r="AH156" s="276">
        <v>0</v>
      </c>
    </row>
    <row r="157" spans="1:34" x14ac:dyDescent="0.25">
      <c r="A157" s="836">
        <v>148</v>
      </c>
      <c r="B157" s="1262" t="s">
        <v>71</v>
      </c>
      <c r="C157" s="1262"/>
      <c r="D157" s="993" t="str">
        <f>VLOOKUP($A157,'Pre-Assessment Estimator'!$A$10:$Z$224,D$2,FALSE)</f>
        <v>Wst 04 Speculative finishes</v>
      </c>
      <c r="E157" s="581">
        <f>VLOOKUP($A157,'Pre-Assessment Estimator'!$A$10:$Z$224,E$2,FALSE)</f>
        <v>1</v>
      </c>
      <c r="F157" s="587" t="str">
        <f>IF(VLOOKUP($A157,'Pre-Assessment Estimator'!$A$10:$Z$224,F$2,FALSE)=0,"",VLOOKUP($A157,'Pre-Assessment Estimator'!$A$10:$Z$224,F$2,FALSE))</f>
        <v/>
      </c>
      <c r="G157" s="1239" t="str">
        <f>VLOOKUP($A157,'Pre-Assessment Estimator'!$A$10:$Z$224,G$2,FALSE)</f>
        <v>0 c. 0 %</v>
      </c>
      <c r="H157" s="583" t="str">
        <f>VLOOKUP($A157,'Pre-Assessment Estimator'!$A$10:$Z$224,H$2,FALSE)</f>
        <v>N/A</v>
      </c>
      <c r="I157" s="584" t="str">
        <f>IF(VLOOKUP($A157,'Pre-Assessment Estimator'!$A$10:$Z$224,I$2,FALSE)=0,"",VLOOKUP($A157,'Pre-Assessment Estimator'!$A$10:$Z$224,I$2,FALSE))</f>
        <v/>
      </c>
      <c r="J157" s="584" t="str">
        <f>IF(VLOOKUP($A157,'Pre-Assessment Estimator'!$A$10:$Z$224,J$2,FALSE)=0,"",VLOOKUP($A157,'Pre-Assessment Estimator'!$A$10:$Z$224,J$2,FALSE))</f>
        <v/>
      </c>
      <c r="K157" s="585" t="str">
        <f>IF(VLOOKUP($A157,'Pre-Assessment Estimator'!$A$10:$Z$224,K$2,FALSE)=0,"",VLOOKUP($A157,'Pre-Assessment Estimator'!$A$10:$Z$224,K$2,FALSE))</f>
        <v/>
      </c>
      <c r="L157" s="586"/>
      <c r="M157" s="587" t="str">
        <f>IF(VLOOKUP($A157,'Pre-Assessment Estimator'!$A$10:$Z$224,M$2,FALSE)=0,"",VLOOKUP($A157,'Pre-Assessment Estimator'!$A$10:$Z$224,M$2,FALSE))</f>
        <v/>
      </c>
      <c r="N157" s="582" t="str">
        <f>VLOOKUP($A157,'Pre-Assessment Estimator'!$A$10:$Z$224,N$2,FALSE)</f>
        <v>0 c. 0 %</v>
      </c>
      <c r="O157" s="581" t="str">
        <f>VLOOKUP($A157,'Pre-Assessment Estimator'!$A$10:$Z$224,O$2,FALSE)</f>
        <v>N/A</v>
      </c>
      <c r="P157" s="584" t="str">
        <f>IF(VLOOKUP($A157,'Pre-Assessment Estimator'!$A$10:$Z$224,P$2,FALSE)=0,"",VLOOKUP($A157,'Pre-Assessment Estimator'!$A$10:$Z$224,P$2,FALSE))</f>
        <v/>
      </c>
      <c r="Q157" s="584" t="str">
        <f>IF(VLOOKUP($A157,'Pre-Assessment Estimator'!$A$10:$Z$224,Q$2,FALSE)=0,"",VLOOKUP($A157,'Pre-Assessment Estimator'!$A$10:$Z$224,Q$2,FALSE))</f>
        <v/>
      </c>
      <c r="R157" s="585" t="str">
        <f>IF(VLOOKUP($A157,'Pre-Assessment Estimator'!$A$10:$Z$224,R$2,FALSE)=0,"",VLOOKUP($A157,'Pre-Assessment Estimator'!$A$10:$Z$224,R$2,FALSE))</f>
        <v/>
      </c>
      <c r="S157" s="588"/>
      <c r="T157" s="587" t="str">
        <f>IF(VLOOKUP($A157,'Pre-Assessment Estimator'!$A$10:$Z$224,T$2,FALSE)=0,"",VLOOKUP($A157,'Pre-Assessment Estimator'!$A$10:$Z$224,T$2,FALSE))</f>
        <v/>
      </c>
      <c r="U157" s="582" t="str">
        <f>VLOOKUP($A157,'Pre-Assessment Estimator'!$A$10:$Z$224,U$2,FALSE)</f>
        <v>0 c. 0 %</v>
      </c>
      <c r="V157" s="581" t="str">
        <f>VLOOKUP($A157,'Pre-Assessment Estimator'!$A$10:$Z$224,V$2,FALSE)</f>
        <v>N/A</v>
      </c>
      <c r="W157" s="584" t="str">
        <f>IF(VLOOKUP($A157,'Pre-Assessment Estimator'!$A$10:$Z$224,W$2,FALSE)=0,"",VLOOKUP($A157,'Pre-Assessment Estimator'!$A$10:$Z$224,W$2,FALSE))</f>
        <v/>
      </c>
      <c r="X157" s="584" t="str">
        <f>IF(VLOOKUP($A157,'Pre-Assessment Estimator'!$A$10:$Z$224,X$2,FALSE)=0,"",VLOOKUP($A157,'Pre-Assessment Estimator'!$A$10:$Z$224,X$2,FALSE))</f>
        <v/>
      </c>
      <c r="Y157" s="370" t="str">
        <f>IF(VLOOKUP($A157,'Pre-Assessment Estimator'!$A$10:$Z$224,Y$2,FALSE)=0,"",VLOOKUP($A157,'Pre-Assessment Estimator'!$A$10:$Z$224,Y$2,FALSE))</f>
        <v/>
      </c>
      <c r="Z157" s="706"/>
      <c r="AA157" s="592" t="str">
        <f>IF(VLOOKUP($A157,'Pre-Assessment Estimator'!$A$10:$AB$224,AA$2,FALSE)=0,"",VLOOKUP($A157,'Pre-Assessment Estimator'!$A$10:$AB$224,AA$2,FALSE))</f>
        <v/>
      </c>
      <c r="AB157" s="389"/>
      <c r="AC157" s="389"/>
      <c r="AD157" s="389"/>
      <c r="AE157" s="386">
        <f t="shared" si="2"/>
        <v>1</v>
      </c>
      <c r="AF157" s="278">
        <v>0</v>
      </c>
      <c r="AG157" s="278">
        <v>0</v>
      </c>
      <c r="AH157" s="278">
        <v>0</v>
      </c>
    </row>
    <row r="158" spans="1:34" x14ac:dyDescent="0.25">
      <c r="A158" s="836">
        <v>149</v>
      </c>
      <c r="B158" s="1262" t="s">
        <v>72</v>
      </c>
      <c r="C158" s="1262"/>
      <c r="D158" s="340" t="str">
        <f>VLOOKUP($A158,'Pre-Assessment Estimator'!$A$10:$Z$224,D$2,FALSE)</f>
        <v xml:space="preserve">User involvement surface finishes </v>
      </c>
      <c r="E158" s="581">
        <f>VLOOKUP($A158,'Pre-Assessment Estimator'!$A$10:$Z$224,E$2,FALSE)</f>
        <v>1</v>
      </c>
      <c r="F158" s="587" t="str">
        <f>IF(VLOOKUP($A158,'Pre-Assessment Estimator'!$A$10:$Z$224,F$2,FALSE)=0,"",VLOOKUP($A158,'Pre-Assessment Estimator'!$A$10:$Z$224,F$2,FALSE))</f>
        <v/>
      </c>
      <c r="G158" s="1239">
        <f>VLOOKUP($A158,'Pre-Assessment Estimator'!$A$10:$Z$224,G$2,FALSE)</f>
        <v>0</v>
      </c>
      <c r="H158" s="583" t="str">
        <f>VLOOKUP($A158,'Pre-Assessment Estimator'!$A$10:$Z$224,H$2,FALSE)</f>
        <v>N/A</v>
      </c>
      <c r="I158" s="584" t="str">
        <f>IF(VLOOKUP($A158,'Pre-Assessment Estimator'!$A$10:$Z$224,I$2,FALSE)=0,"",VLOOKUP($A158,'Pre-Assessment Estimator'!$A$10:$Z$224,I$2,FALSE))</f>
        <v/>
      </c>
      <c r="J158" s="584" t="str">
        <f>IF(VLOOKUP($A158,'Pre-Assessment Estimator'!$A$10:$Z$224,J$2,FALSE)=0,"",VLOOKUP($A158,'Pre-Assessment Estimator'!$A$10:$Z$224,J$2,FALSE))</f>
        <v/>
      </c>
      <c r="K158" s="585" t="str">
        <f>IF(VLOOKUP($A158,'Pre-Assessment Estimator'!$A$10:$Z$224,K$2,FALSE)=0,"",VLOOKUP($A158,'Pre-Assessment Estimator'!$A$10:$Z$224,K$2,FALSE))</f>
        <v/>
      </c>
      <c r="L158" s="586"/>
      <c r="M158" s="587" t="str">
        <f>IF(VLOOKUP($A158,'Pre-Assessment Estimator'!$A$10:$Z$224,M$2,FALSE)=0,"",VLOOKUP($A158,'Pre-Assessment Estimator'!$A$10:$Z$224,M$2,FALSE))</f>
        <v/>
      </c>
      <c r="N158" s="582">
        <f>VLOOKUP($A158,'Pre-Assessment Estimator'!$A$10:$Z$224,N$2,FALSE)</f>
        <v>0</v>
      </c>
      <c r="O158" s="581" t="str">
        <f>VLOOKUP($A158,'Pre-Assessment Estimator'!$A$10:$Z$224,O$2,FALSE)</f>
        <v>N/A</v>
      </c>
      <c r="P158" s="584" t="str">
        <f>IF(VLOOKUP($A158,'Pre-Assessment Estimator'!$A$10:$Z$224,P$2,FALSE)=0,"",VLOOKUP($A158,'Pre-Assessment Estimator'!$A$10:$Z$224,P$2,FALSE))</f>
        <v/>
      </c>
      <c r="Q158" s="584" t="str">
        <f>IF(VLOOKUP($A158,'Pre-Assessment Estimator'!$A$10:$Z$224,Q$2,FALSE)=0,"",VLOOKUP($A158,'Pre-Assessment Estimator'!$A$10:$Z$224,Q$2,FALSE))</f>
        <v/>
      </c>
      <c r="R158" s="585" t="str">
        <f>IF(VLOOKUP($A158,'Pre-Assessment Estimator'!$A$10:$Z$224,R$2,FALSE)=0,"",VLOOKUP($A158,'Pre-Assessment Estimator'!$A$10:$Z$224,R$2,FALSE))</f>
        <v/>
      </c>
      <c r="S158" s="588"/>
      <c r="T158" s="587" t="str">
        <f>IF(VLOOKUP($A158,'Pre-Assessment Estimator'!$A$10:$Z$224,T$2,FALSE)=0,"",VLOOKUP($A158,'Pre-Assessment Estimator'!$A$10:$Z$224,T$2,FALSE))</f>
        <v/>
      </c>
      <c r="U158" s="582">
        <f>VLOOKUP($A158,'Pre-Assessment Estimator'!$A$10:$Z$224,U$2,FALSE)</f>
        <v>0</v>
      </c>
      <c r="V158" s="581" t="str">
        <f>VLOOKUP($A158,'Pre-Assessment Estimator'!$A$10:$Z$224,V$2,FALSE)</f>
        <v>N/A</v>
      </c>
      <c r="W158" s="584" t="str">
        <f>IF(VLOOKUP($A158,'Pre-Assessment Estimator'!$A$10:$Z$224,W$2,FALSE)=0,"",VLOOKUP($A158,'Pre-Assessment Estimator'!$A$10:$Z$224,W$2,FALSE))</f>
        <v/>
      </c>
      <c r="X158" s="584" t="str">
        <f>IF(VLOOKUP($A158,'Pre-Assessment Estimator'!$A$10:$Z$224,X$2,FALSE)=0,"",VLOOKUP($A158,'Pre-Assessment Estimator'!$A$10:$Z$224,X$2,FALSE))</f>
        <v/>
      </c>
      <c r="Y158" s="370" t="str">
        <f>IF(VLOOKUP($A158,'Pre-Assessment Estimator'!$A$10:$Z$224,Y$2,FALSE)=0,"",VLOOKUP($A158,'Pre-Assessment Estimator'!$A$10:$Z$224,Y$2,FALSE))</f>
        <v/>
      </c>
      <c r="Z158" s="704"/>
      <c r="AA158" s="708" t="str">
        <f>IF(VLOOKUP($A158,'Pre-Assessment Estimator'!$A$10:$AB$224,AA$2,FALSE)=0,"",VLOOKUP($A158,'Pre-Assessment Estimator'!$A$10:$AB$224,AA$2,FALSE))</f>
        <v/>
      </c>
      <c r="AE158" s="386">
        <f t="shared" si="2"/>
        <v>1</v>
      </c>
      <c r="AF158" s="275">
        <v>0</v>
      </c>
      <c r="AG158" s="275">
        <v>0</v>
      </c>
      <c r="AH158" s="275">
        <v>0</v>
      </c>
    </row>
    <row r="159" spans="1:34" ht="30.75" thickBot="1" x14ac:dyDescent="0.3">
      <c r="A159" s="836">
        <v>150</v>
      </c>
      <c r="B159" s="1262" t="s">
        <v>72</v>
      </c>
      <c r="C159" s="1262"/>
      <c r="D159" s="341" t="str">
        <f>VLOOKUP($A159,'Pre-Assessment Estimator'!$A$10:$Z$224,D$2,FALSE)</f>
        <v>Total performance waste</v>
      </c>
      <c r="E159" s="589">
        <f>VLOOKUP($A159,'Pre-Assessment Estimator'!$A$10:$Z$224,E$2,FALSE)</f>
        <v>7</v>
      </c>
      <c r="F159" s="591" t="str">
        <f>IF(VLOOKUP($A159,'Pre-Assessment Estimator'!$A$10:$Z$224,F$2,FALSE)=0,"",VLOOKUP($A159,'Pre-Assessment Estimator'!$A$10:$Z$224,F$2,FALSE))</f>
        <v/>
      </c>
      <c r="G159" s="590">
        <f>VLOOKUP($A159,'Pre-Assessment Estimator'!$A$10:$Z$224,G$2,FALSE)</f>
        <v>0</v>
      </c>
      <c r="H159" s="589" t="str">
        <f>VLOOKUP($A159,'Pre-Assessment Estimator'!$A$10:$Z$224,H$2,FALSE)</f>
        <v>Credits achieved: 0</v>
      </c>
      <c r="I159" s="1220" t="str">
        <f>IF(VLOOKUP($A159,'Pre-Assessment Estimator'!$A$10:$Z$224,I$2,FALSE)=0,"",VLOOKUP($A159,'Pre-Assessment Estimator'!$A$10:$Z$224,I$2,FALSE))</f>
        <v/>
      </c>
      <c r="J159" s="1220" t="str">
        <f>IF(VLOOKUP($A159,'Pre-Assessment Estimator'!$A$10:$Z$224,J$2,FALSE)=0,"",VLOOKUP($A159,'Pre-Assessment Estimator'!$A$10:$Z$224,J$2,FALSE))</f>
        <v/>
      </c>
      <c r="K159" s="1240" t="str">
        <f>IF(VLOOKUP($A159,'Pre-Assessment Estimator'!$A$10:$Z$224,K$2,FALSE)=0,"",VLOOKUP($A159,'Pre-Assessment Estimator'!$A$10:$Z$224,K$2,FALSE))</f>
        <v/>
      </c>
      <c r="L159" s="1241"/>
      <c r="M159" s="591" t="str">
        <f>IF(VLOOKUP($A159,'Pre-Assessment Estimator'!$A$10:$Z$224,M$2,FALSE)=0,"",VLOOKUP($A159,'Pre-Assessment Estimator'!$A$10:$Z$224,M$2,FALSE))</f>
        <v/>
      </c>
      <c r="N159" s="590">
        <f>VLOOKUP($A159,'Pre-Assessment Estimator'!$A$10:$Z$224,N$2,FALSE)</f>
        <v>0</v>
      </c>
      <c r="O159" s="589" t="str">
        <f>VLOOKUP($A159,'Pre-Assessment Estimator'!$A$10:$Z$224,O$2,FALSE)</f>
        <v>Credits achieved: 0</v>
      </c>
      <c r="P159" s="1220" t="str">
        <f>IF(VLOOKUP($A159,'Pre-Assessment Estimator'!$A$10:$Z$224,P$2,FALSE)=0,"",VLOOKUP($A159,'Pre-Assessment Estimator'!$A$10:$Z$224,P$2,FALSE))</f>
        <v/>
      </c>
      <c r="Q159" s="1220" t="str">
        <f>IF(VLOOKUP($A159,'Pre-Assessment Estimator'!$A$10:$Z$224,Q$2,FALSE)=0,"",VLOOKUP($A159,'Pre-Assessment Estimator'!$A$10:$Z$224,Q$2,FALSE))</f>
        <v/>
      </c>
      <c r="R159" s="1240" t="str">
        <f>IF(VLOOKUP($A159,'Pre-Assessment Estimator'!$A$10:$Z$224,R$2,FALSE)=0,"",VLOOKUP($A159,'Pre-Assessment Estimator'!$A$10:$Z$224,R$2,FALSE))</f>
        <v/>
      </c>
      <c r="S159" s="1242"/>
      <c r="T159" s="591" t="str">
        <f>IF(VLOOKUP($A159,'Pre-Assessment Estimator'!$A$10:$Z$224,T$2,FALSE)=0,"",VLOOKUP($A159,'Pre-Assessment Estimator'!$A$10:$Z$224,T$2,FALSE))</f>
        <v/>
      </c>
      <c r="U159" s="590">
        <f>VLOOKUP($A159,'Pre-Assessment Estimator'!$A$10:$Z$224,U$2,FALSE)</f>
        <v>0</v>
      </c>
      <c r="V159" s="589" t="str">
        <f>VLOOKUP($A159,'Pre-Assessment Estimator'!$A$10:$Z$224,V$2,FALSE)</f>
        <v>Credits achieved: 0</v>
      </c>
      <c r="W159" s="1220" t="str">
        <f>IF(VLOOKUP($A159,'Pre-Assessment Estimator'!$A$10:$Z$224,W$2,FALSE)=0,"",VLOOKUP($A159,'Pre-Assessment Estimator'!$A$10:$Z$224,W$2,FALSE))</f>
        <v/>
      </c>
      <c r="X159" s="1220" t="str">
        <f>IF(VLOOKUP($A159,'Pre-Assessment Estimator'!$A$10:$Z$224,X$2,FALSE)=0,"",VLOOKUP($A159,'Pre-Assessment Estimator'!$A$10:$Z$224,X$2,FALSE))</f>
        <v/>
      </c>
      <c r="Y159" s="1243" t="str">
        <f>IF(VLOOKUP($A159,'Pre-Assessment Estimator'!$A$10:$Z$224,Y$2,FALSE)=0,"",VLOOKUP($A159,'Pre-Assessment Estimator'!$A$10:$Z$224,Y$2,FALSE))</f>
        <v/>
      </c>
      <c r="Z159" s="705"/>
      <c r="AA159" s="584" t="str">
        <f>IF(VLOOKUP($A159,'Pre-Assessment Estimator'!$A$10:$AB$224,AA$2,FALSE)=0,"",VLOOKUP($A159,'Pre-Assessment Estimator'!$A$10:$AB$224,AA$2,FALSE))</f>
        <v/>
      </c>
      <c r="AE159" s="386">
        <f t="shared" si="2"/>
        <v>1</v>
      </c>
      <c r="AF159" s="95" t="e">
        <f>VLOOKUP(J159,'Assessment Details'!$O$45:$P$48,2,FALSE)</f>
        <v>#N/A</v>
      </c>
      <c r="AG159" s="95" t="e">
        <f>VLOOKUP(Q159,'Assessment Details'!$O$45:$P$48,2,FALSE)</f>
        <v>#N/A</v>
      </c>
      <c r="AH159" s="95" t="e">
        <f>VLOOKUP(X159,'Assessment Details'!$O$45:$P$48,2,FALSE)</f>
        <v>#N/A</v>
      </c>
    </row>
    <row r="160" spans="1:34" x14ac:dyDescent="0.25">
      <c r="A160" s="836">
        <v>151</v>
      </c>
      <c r="B160" s="1262"/>
      <c r="C160" s="1262"/>
      <c r="D160" s="592"/>
      <c r="E160" s="593"/>
      <c r="F160" s="593"/>
      <c r="G160" s="593"/>
      <c r="H160" s="593"/>
      <c r="I160" s="592"/>
      <c r="J160" s="593"/>
      <c r="K160" s="592"/>
      <c r="L160" s="586"/>
      <c r="M160" s="593"/>
      <c r="N160" s="593"/>
      <c r="O160" s="593"/>
      <c r="P160" s="592"/>
      <c r="Q160" s="593"/>
      <c r="R160" s="592"/>
      <c r="S160" s="588"/>
      <c r="T160" s="593"/>
      <c r="U160" s="593"/>
      <c r="V160" s="593"/>
      <c r="W160" s="592"/>
      <c r="X160" s="593"/>
      <c r="Y160" s="343"/>
      <c r="Z160" s="705"/>
      <c r="AA160" s="584"/>
      <c r="AE160" s="386">
        <f t="shared" si="2"/>
        <v>1</v>
      </c>
      <c r="AF160" s="95" t="e">
        <f>VLOOKUP(J160,'Assessment Details'!$O$45:$P$48,2,FALSE)</f>
        <v>#N/A</v>
      </c>
      <c r="AG160" s="95" t="e">
        <f>VLOOKUP(Q160,'Assessment Details'!$O$45:$P$48,2,FALSE)</f>
        <v>#N/A</v>
      </c>
      <c r="AH160" s="95" t="e">
        <f>VLOOKUP(X160,'Assessment Details'!$O$45:$P$48,2,FALSE)</f>
        <v>#N/A</v>
      </c>
    </row>
    <row r="161" spans="1:34" ht="18.75" x14ac:dyDescent="0.25">
      <c r="A161" s="836">
        <v>152</v>
      </c>
      <c r="B161" s="1262"/>
      <c r="C161" s="1262"/>
      <c r="D161" s="594" t="s">
        <v>396</v>
      </c>
      <c r="E161" s="577"/>
      <c r="F161" s="577"/>
      <c r="G161" s="577"/>
      <c r="H161" s="577"/>
      <c r="I161" s="578"/>
      <c r="J161" s="577"/>
      <c r="K161" s="578"/>
      <c r="L161" s="586"/>
      <c r="M161" s="577"/>
      <c r="N161" s="577"/>
      <c r="O161" s="577"/>
      <c r="P161" s="578"/>
      <c r="Q161" s="577"/>
      <c r="R161" s="578"/>
      <c r="S161" s="588"/>
      <c r="T161" s="577"/>
      <c r="U161" s="577"/>
      <c r="V161" s="577"/>
      <c r="W161" s="578"/>
      <c r="X161" s="577"/>
      <c r="Y161" s="411"/>
      <c r="Z161" s="705"/>
      <c r="AA161" s="584"/>
      <c r="AE161" s="386">
        <f t="shared" si="2"/>
        <v>1</v>
      </c>
      <c r="AF161" s="95" t="e">
        <f>VLOOKUP(J161,'Assessment Details'!$O$45:$P$48,2,FALSE)</f>
        <v>#N/A</v>
      </c>
      <c r="AG161" s="95" t="e">
        <f>VLOOKUP(Q161,'Assessment Details'!$O$45:$P$48,2,FALSE)</f>
        <v>#N/A</v>
      </c>
      <c r="AH161" s="95" t="e">
        <f>VLOOKUP(X161,'Assessment Details'!$O$45:$P$48,2,FALSE)</f>
        <v>#N/A</v>
      </c>
    </row>
    <row r="162" spans="1:34" x14ac:dyDescent="0.25">
      <c r="A162" s="836">
        <v>153</v>
      </c>
      <c r="B162" s="1262"/>
      <c r="C162" s="1262"/>
      <c r="D162" s="993" t="str">
        <f>VLOOKUP($A162,'Pre-Assessment Estimator'!$A$10:$Z$224,D$2,FALSE)</f>
        <v>LE 01 Site selection</v>
      </c>
      <c r="E162" s="581">
        <f>VLOOKUP($A162,'Pre-Assessment Estimator'!$A$10:$Z$224,E$2,FALSE)</f>
        <v>2</v>
      </c>
      <c r="F162" s="587" t="str">
        <f>IF(VLOOKUP($A162,'Pre-Assessment Estimator'!$A$10:$Z$224,F$2,FALSE)=0,"",VLOOKUP($A162,'Pre-Assessment Estimator'!$A$10:$Z$224,F$2,FALSE))</f>
        <v/>
      </c>
      <c r="G162" s="1239" t="str">
        <f>VLOOKUP($A162,'Pre-Assessment Estimator'!$A$10:$Z$224,G$2,FALSE)</f>
        <v>0 c. 0 %</v>
      </c>
      <c r="H162" s="583" t="str">
        <f>VLOOKUP($A162,'Pre-Assessment Estimator'!$A$10:$Z$224,H$2,FALSE)</f>
        <v>N/A</v>
      </c>
      <c r="I162" s="584" t="str">
        <f>IF(VLOOKUP($A162,'Pre-Assessment Estimator'!$A$10:$Z$224,I$2,FALSE)=0,"",VLOOKUP($A162,'Pre-Assessment Estimator'!$A$10:$Z$224,I$2,FALSE))</f>
        <v/>
      </c>
      <c r="J162" s="584" t="str">
        <f>IF(VLOOKUP($A162,'Pre-Assessment Estimator'!$A$10:$Z$224,J$2,FALSE)=0,"",VLOOKUP($A162,'Pre-Assessment Estimator'!$A$10:$Z$224,J$2,FALSE))</f>
        <v/>
      </c>
      <c r="K162" s="585" t="str">
        <f>IF(VLOOKUP($A162,'Pre-Assessment Estimator'!$A$10:$Z$224,K$2,FALSE)=0,"",VLOOKUP($A162,'Pre-Assessment Estimator'!$A$10:$Z$224,K$2,FALSE))</f>
        <v/>
      </c>
      <c r="L162" s="586"/>
      <c r="M162" s="587" t="str">
        <f>IF(VLOOKUP($A162,'Pre-Assessment Estimator'!$A$10:$Z$224,M$2,FALSE)=0,"",VLOOKUP($A162,'Pre-Assessment Estimator'!$A$10:$Z$224,M$2,FALSE))</f>
        <v/>
      </c>
      <c r="N162" s="582" t="str">
        <f>VLOOKUP($A162,'Pre-Assessment Estimator'!$A$10:$Z$224,N$2,FALSE)</f>
        <v>0 c. 0 %</v>
      </c>
      <c r="O162" s="581" t="str">
        <f>VLOOKUP($A162,'Pre-Assessment Estimator'!$A$10:$Z$224,O$2,FALSE)</f>
        <v>N/A</v>
      </c>
      <c r="P162" s="584" t="str">
        <f>IF(VLOOKUP($A162,'Pre-Assessment Estimator'!$A$10:$Z$224,P$2,FALSE)=0,"",VLOOKUP($A162,'Pre-Assessment Estimator'!$A$10:$Z$224,P$2,FALSE))</f>
        <v/>
      </c>
      <c r="Q162" s="584" t="str">
        <f>IF(VLOOKUP($A162,'Pre-Assessment Estimator'!$A$10:$Z$224,Q$2,FALSE)=0,"",VLOOKUP($A162,'Pre-Assessment Estimator'!$A$10:$Z$224,Q$2,FALSE))</f>
        <v/>
      </c>
      <c r="R162" s="585" t="str">
        <f>IF(VLOOKUP($A162,'Pre-Assessment Estimator'!$A$10:$Z$224,R$2,FALSE)=0,"",VLOOKUP($A162,'Pre-Assessment Estimator'!$A$10:$Z$224,R$2,FALSE))</f>
        <v/>
      </c>
      <c r="S162" s="588"/>
      <c r="T162" s="587" t="str">
        <f>IF(VLOOKUP($A162,'Pre-Assessment Estimator'!$A$10:$Z$224,T$2,FALSE)=0,"",VLOOKUP($A162,'Pre-Assessment Estimator'!$A$10:$Z$224,T$2,FALSE))</f>
        <v/>
      </c>
      <c r="U162" s="582" t="str">
        <f>VLOOKUP($A162,'Pre-Assessment Estimator'!$A$10:$Z$224,U$2,FALSE)</f>
        <v>0 c. 0 %</v>
      </c>
      <c r="V162" s="581" t="str">
        <f>VLOOKUP($A162,'Pre-Assessment Estimator'!$A$10:$Z$224,V$2,FALSE)</f>
        <v>N/A</v>
      </c>
      <c r="W162" s="584" t="str">
        <f>IF(VLOOKUP($A162,'Pre-Assessment Estimator'!$A$10:$Z$224,W$2,FALSE)=0,"",VLOOKUP($A162,'Pre-Assessment Estimator'!$A$10:$Z$224,W$2,FALSE))</f>
        <v/>
      </c>
      <c r="X162" s="584" t="str">
        <f>IF(VLOOKUP($A162,'Pre-Assessment Estimator'!$A$10:$Z$224,X$2,FALSE)=0,"",VLOOKUP($A162,'Pre-Assessment Estimator'!$A$10:$Z$224,X$2,FALSE))</f>
        <v/>
      </c>
      <c r="Y162" s="370" t="str">
        <f>IF(VLOOKUP($A162,'Pre-Assessment Estimator'!$A$10:$Z$224,Y$2,FALSE)=0,"",VLOOKUP($A162,'Pre-Assessment Estimator'!$A$10:$Z$224,Y$2,FALSE))</f>
        <v/>
      </c>
      <c r="Z162" s="705"/>
      <c r="AA162" s="584"/>
      <c r="AE162" s="386">
        <f t="shared" si="2"/>
        <v>1</v>
      </c>
      <c r="AF162" s="95" t="e">
        <f>VLOOKUP(J162,'Assessment Details'!$O$45:$P$48,2,FALSE)</f>
        <v>#N/A</v>
      </c>
      <c r="AG162" s="95" t="e">
        <f>VLOOKUP(Q162,'Assessment Details'!$O$45:$P$48,2,FALSE)</f>
        <v>#N/A</v>
      </c>
      <c r="AH162" s="95" t="e">
        <f>VLOOKUP(X162,'Assessment Details'!$O$45:$P$48,2,FALSE)</f>
        <v>#N/A</v>
      </c>
    </row>
    <row r="163" spans="1:34" x14ac:dyDescent="0.25">
      <c r="A163" s="836">
        <v>154</v>
      </c>
      <c r="B163" s="1262"/>
      <c r="C163" s="1262"/>
      <c r="D163" s="340" t="str">
        <f>VLOOKUP($A163,'Pre-Assessment Estimator'!$A$10:$Z$224,D$2,FALSE)</f>
        <v>Previously occupied land</v>
      </c>
      <c r="E163" s="581">
        <f>VLOOKUP($A163,'Pre-Assessment Estimator'!$A$10:$Z$224,E$2,FALSE)</f>
        <v>2</v>
      </c>
      <c r="F163" s="587" t="str">
        <f>IF(VLOOKUP($A163,'Pre-Assessment Estimator'!$A$10:$Z$224,F$2,FALSE)=0,"",VLOOKUP($A163,'Pre-Assessment Estimator'!$A$10:$Z$224,F$2,FALSE))</f>
        <v/>
      </c>
      <c r="G163" s="1239">
        <f>VLOOKUP($A163,'Pre-Assessment Estimator'!$A$10:$Z$224,G$2,FALSE)</f>
        <v>0</v>
      </c>
      <c r="H163" s="583" t="str">
        <f>VLOOKUP($A163,'Pre-Assessment Estimator'!$A$10:$Z$224,H$2,FALSE)</f>
        <v>N/A</v>
      </c>
      <c r="I163" s="584" t="str">
        <f>IF(VLOOKUP($A163,'Pre-Assessment Estimator'!$A$10:$Z$224,I$2,FALSE)=0,"",VLOOKUP($A163,'Pre-Assessment Estimator'!$A$10:$Z$224,I$2,FALSE))</f>
        <v/>
      </c>
      <c r="J163" s="584" t="str">
        <f>IF(VLOOKUP($A163,'Pre-Assessment Estimator'!$A$10:$Z$224,J$2,FALSE)=0,"",VLOOKUP($A163,'Pre-Assessment Estimator'!$A$10:$Z$224,J$2,FALSE))</f>
        <v/>
      </c>
      <c r="K163" s="585" t="str">
        <f>IF(VLOOKUP($A163,'Pre-Assessment Estimator'!$A$10:$Z$224,K$2,FALSE)=0,"",VLOOKUP($A163,'Pre-Assessment Estimator'!$A$10:$Z$224,K$2,FALSE))</f>
        <v/>
      </c>
      <c r="L163" s="586"/>
      <c r="M163" s="587" t="str">
        <f>IF(VLOOKUP($A163,'Pre-Assessment Estimator'!$A$10:$Z$224,M$2,FALSE)=0,"",VLOOKUP($A163,'Pre-Assessment Estimator'!$A$10:$Z$224,M$2,FALSE))</f>
        <v/>
      </c>
      <c r="N163" s="582">
        <f>VLOOKUP($A163,'Pre-Assessment Estimator'!$A$10:$Z$224,N$2,FALSE)</f>
        <v>0</v>
      </c>
      <c r="O163" s="581" t="str">
        <f>VLOOKUP($A163,'Pre-Assessment Estimator'!$A$10:$Z$224,O$2,FALSE)</f>
        <v>N/A</v>
      </c>
      <c r="P163" s="584" t="str">
        <f>IF(VLOOKUP($A163,'Pre-Assessment Estimator'!$A$10:$Z$224,P$2,FALSE)=0,"",VLOOKUP($A163,'Pre-Assessment Estimator'!$A$10:$Z$224,P$2,FALSE))</f>
        <v/>
      </c>
      <c r="Q163" s="584" t="str">
        <f>IF(VLOOKUP($A163,'Pre-Assessment Estimator'!$A$10:$Z$224,Q$2,FALSE)=0,"",VLOOKUP($A163,'Pre-Assessment Estimator'!$A$10:$Z$224,Q$2,FALSE))</f>
        <v/>
      </c>
      <c r="R163" s="585" t="str">
        <f>IF(VLOOKUP($A163,'Pre-Assessment Estimator'!$A$10:$Z$224,R$2,FALSE)=0,"",VLOOKUP($A163,'Pre-Assessment Estimator'!$A$10:$Z$224,R$2,FALSE))</f>
        <v/>
      </c>
      <c r="S163" s="588"/>
      <c r="T163" s="587" t="str">
        <f>IF(VLOOKUP($A163,'Pre-Assessment Estimator'!$A$10:$Z$224,T$2,FALSE)=0,"",VLOOKUP($A163,'Pre-Assessment Estimator'!$A$10:$Z$224,T$2,FALSE))</f>
        <v/>
      </c>
      <c r="U163" s="582">
        <f>VLOOKUP($A163,'Pre-Assessment Estimator'!$A$10:$Z$224,U$2,FALSE)</f>
        <v>0</v>
      </c>
      <c r="V163" s="581" t="str">
        <f>VLOOKUP($A163,'Pre-Assessment Estimator'!$A$10:$Z$224,V$2,FALSE)</f>
        <v>N/A</v>
      </c>
      <c r="W163" s="584" t="str">
        <f>IF(VLOOKUP($A163,'Pre-Assessment Estimator'!$A$10:$Z$224,W$2,FALSE)=0,"",VLOOKUP($A163,'Pre-Assessment Estimator'!$A$10:$Z$224,W$2,FALSE))</f>
        <v/>
      </c>
      <c r="X163" s="584" t="str">
        <f>IF(VLOOKUP($A163,'Pre-Assessment Estimator'!$A$10:$Z$224,X$2,FALSE)=0,"",VLOOKUP($A163,'Pre-Assessment Estimator'!$A$10:$Z$224,X$2,FALSE))</f>
        <v/>
      </c>
      <c r="Y163" s="370" t="str">
        <f>IF(VLOOKUP($A163,'Pre-Assessment Estimator'!$A$10:$Z$224,Y$2,FALSE)=0,"",VLOOKUP($A163,'Pre-Assessment Estimator'!$A$10:$Z$224,Y$2,FALSE))</f>
        <v/>
      </c>
      <c r="Z163" s="705"/>
      <c r="AA163" s="584"/>
      <c r="AE163" s="386">
        <f t="shared" si="2"/>
        <v>1</v>
      </c>
      <c r="AF163" s="95" t="e">
        <f>VLOOKUP(J163,'Assessment Details'!$O$45:$P$48,2,FALSE)</f>
        <v>#N/A</v>
      </c>
      <c r="AG163" s="95" t="e">
        <f>VLOOKUP(Q163,'Assessment Details'!$O$45:$P$48,2,FALSE)</f>
        <v>#N/A</v>
      </c>
      <c r="AH163" s="95" t="e">
        <f>VLOOKUP(X163,'Assessment Details'!$O$45:$P$48,2,FALSE)</f>
        <v>#N/A</v>
      </c>
    </row>
    <row r="164" spans="1:34" x14ac:dyDescent="0.25">
      <c r="A164" s="836">
        <v>155</v>
      </c>
      <c r="B164" s="1262"/>
      <c r="C164" s="1262"/>
      <c r="D164" s="340" t="str">
        <f>VLOOKUP($A164,'Pre-Assessment Estimator'!$A$10:$Z$224,D$2,FALSE)</f>
        <v>Minimum req: agricultural area / forest - criterion 2</v>
      </c>
      <c r="E164" s="581" t="str">
        <f>VLOOKUP($A164,'Pre-Assessment Estimator'!$A$10:$Z$224,E$2,FALSE)</f>
        <v>Yes/No</v>
      </c>
      <c r="F164" s="587" t="str">
        <f>IF(VLOOKUP($A164,'Pre-Assessment Estimator'!$A$10:$Z$224,F$2,FALSE)=0,"",VLOOKUP($A164,'Pre-Assessment Estimator'!$A$10:$Z$224,F$2,FALSE))</f>
        <v/>
      </c>
      <c r="G164" s="1239" t="str">
        <f>VLOOKUP($A164,'Pre-Assessment Estimator'!$A$10:$Z$224,G$2,FALSE)</f>
        <v>-</v>
      </c>
      <c r="H164" s="583" t="str">
        <f>VLOOKUP($A164,'Pre-Assessment Estimator'!$A$10:$Z$224,H$2,FALSE)</f>
        <v>Very Good</v>
      </c>
      <c r="I164" s="584" t="str">
        <f>IF(VLOOKUP($A164,'Pre-Assessment Estimator'!$A$10:$Z$224,I$2,FALSE)=0,"",VLOOKUP($A164,'Pre-Assessment Estimator'!$A$10:$Z$224,I$2,FALSE))</f>
        <v/>
      </c>
      <c r="J164" s="584" t="str">
        <f>IF(VLOOKUP($A164,'Pre-Assessment Estimator'!$A$10:$Z$224,J$2,FALSE)=0,"",VLOOKUP($A164,'Pre-Assessment Estimator'!$A$10:$Z$224,J$2,FALSE))</f>
        <v/>
      </c>
      <c r="K164" s="585" t="str">
        <f>IF(VLOOKUP($A164,'Pre-Assessment Estimator'!$A$10:$Z$224,K$2,FALSE)=0,"",VLOOKUP($A164,'Pre-Assessment Estimator'!$A$10:$Z$224,K$2,FALSE))</f>
        <v/>
      </c>
      <c r="L164" s="586"/>
      <c r="M164" s="587" t="str">
        <f>IF(VLOOKUP($A164,'Pre-Assessment Estimator'!$A$10:$Z$224,M$2,FALSE)=0,"",VLOOKUP($A164,'Pre-Assessment Estimator'!$A$10:$Z$224,M$2,FALSE))</f>
        <v/>
      </c>
      <c r="N164" s="582" t="str">
        <f>VLOOKUP($A164,'Pre-Assessment Estimator'!$A$10:$Z$224,N$2,FALSE)</f>
        <v>-</v>
      </c>
      <c r="O164" s="581" t="str">
        <f>VLOOKUP($A164,'Pre-Assessment Estimator'!$A$10:$Z$224,O$2,FALSE)</f>
        <v>Very Good</v>
      </c>
      <c r="P164" s="584" t="str">
        <f>IF(VLOOKUP($A164,'Pre-Assessment Estimator'!$A$10:$Z$224,P$2,FALSE)=0,"",VLOOKUP($A164,'Pre-Assessment Estimator'!$A$10:$Z$224,P$2,FALSE))</f>
        <v/>
      </c>
      <c r="Q164" s="584" t="str">
        <f>IF(VLOOKUP($A164,'Pre-Assessment Estimator'!$A$10:$Z$224,Q$2,FALSE)=0,"",VLOOKUP($A164,'Pre-Assessment Estimator'!$A$10:$Z$224,Q$2,FALSE))</f>
        <v/>
      </c>
      <c r="R164" s="585" t="str">
        <f>IF(VLOOKUP($A164,'Pre-Assessment Estimator'!$A$10:$Z$224,R$2,FALSE)=0,"",VLOOKUP($A164,'Pre-Assessment Estimator'!$A$10:$Z$224,R$2,FALSE))</f>
        <v/>
      </c>
      <c r="S164" s="588"/>
      <c r="T164" s="587" t="str">
        <f>IF(VLOOKUP($A164,'Pre-Assessment Estimator'!$A$10:$Z$224,T$2,FALSE)=0,"",VLOOKUP($A164,'Pre-Assessment Estimator'!$A$10:$Z$224,T$2,FALSE))</f>
        <v/>
      </c>
      <c r="U164" s="582" t="str">
        <f>VLOOKUP($A164,'Pre-Assessment Estimator'!$A$10:$Z$224,U$2,FALSE)</f>
        <v>-</v>
      </c>
      <c r="V164" s="581" t="str">
        <f>VLOOKUP($A164,'Pre-Assessment Estimator'!$A$10:$Z$224,V$2,FALSE)</f>
        <v>Very Good</v>
      </c>
      <c r="W164" s="584" t="str">
        <f>IF(VLOOKUP($A164,'Pre-Assessment Estimator'!$A$10:$Z$224,W$2,FALSE)=0,"",VLOOKUP($A164,'Pre-Assessment Estimator'!$A$10:$Z$224,W$2,FALSE))</f>
        <v/>
      </c>
      <c r="X164" s="584" t="str">
        <f>IF(VLOOKUP($A164,'Pre-Assessment Estimator'!$A$10:$Z$224,X$2,FALSE)=0,"",VLOOKUP($A164,'Pre-Assessment Estimator'!$A$10:$Z$224,X$2,FALSE))</f>
        <v/>
      </c>
      <c r="Y164" s="370" t="str">
        <f>IF(VLOOKUP($A164,'Pre-Assessment Estimator'!$A$10:$Z$224,Y$2,FALSE)=0,"",VLOOKUP($A164,'Pre-Assessment Estimator'!$A$10:$Z$224,Y$2,FALSE))</f>
        <v/>
      </c>
      <c r="Z164" s="705"/>
      <c r="AA164" s="584"/>
      <c r="AE164" s="386">
        <f t="shared" si="2"/>
        <v>1</v>
      </c>
      <c r="AF164" s="95" t="e">
        <f>VLOOKUP(J164,'Assessment Details'!$O$45:$P$48,2,FALSE)</f>
        <v>#N/A</v>
      </c>
      <c r="AG164" s="95" t="e">
        <f>VLOOKUP(Q164,'Assessment Details'!$O$45:$P$48,2,FALSE)</f>
        <v>#N/A</v>
      </c>
      <c r="AH164" s="95" t="e">
        <f>VLOOKUP(X164,'Assessment Details'!$O$45:$P$48,2,FALSE)</f>
        <v>#N/A</v>
      </c>
    </row>
    <row r="165" spans="1:34" x14ac:dyDescent="0.25">
      <c r="A165" s="836">
        <v>156</v>
      </c>
      <c r="B165" s="1262"/>
      <c r="C165" s="1262"/>
      <c r="D165" s="340" t="str">
        <f>VLOOKUP($A165,'Pre-Assessment Estimator'!$A$10:$Z$224,D$2,FALSE)</f>
        <v>LE 02 Ecological risks and opportunities</v>
      </c>
      <c r="E165" s="581">
        <f>VLOOKUP($A165,'Pre-Assessment Estimator'!$A$10:$Z$224,E$2,FALSE)</f>
        <v>2</v>
      </c>
      <c r="F165" s="587" t="str">
        <f>IF(VLOOKUP($A165,'Pre-Assessment Estimator'!$A$10:$Z$224,F$2,FALSE)=0,"",VLOOKUP($A165,'Pre-Assessment Estimator'!$A$10:$Z$224,F$2,FALSE))</f>
        <v/>
      </c>
      <c r="G165" s="1239" t="str">
        <f>VLOOKUP($A165,'Pre-Assessment Estimator'!$A$10:$Z$224,G$2,FALSE)</f>
        <v>0 c. 0 %</v>
      </c>
      <c r="H165" s="583" t="str">
        <f>VLOOKUP($A165,'Pre-Assessment Estimator'!$A$10:$Z$224,H$2,FALSE)</f>
        <v>N/A</v>
      </c>
      <c r="I165" s="584" t="str">
        <f>IF(VLOOKUP($A165,'Pre-Assessment Estimator'!$A$10:$Z$224,I$2,FALSE)=0,"",VLOOKUP($A165,'Pre-Assessment Estimator'!$A$10:$Z$224,I$2,FALSE))</f>
        <v/>
      </c>
      <c r="J165" s="584" t="str">
        <f>IF(VLOOKUP($A165,'Pre-Assessment Estimator'!$A$10:$Z$224,J$2,FALSE)=0,"",VLOOKUP($A165,'Pre-Assessment Estimator'!$A$10:$Z$224,J$2,FALSE))</f>
        <v/>
      </c>
      <c r="K165" s="585" t="str">
        <f>IF(VLOOKUP($A165,'Pre-Assessment Estimator'!$A$10:$Z$224,K$2,FALSE)=0,"",VLOOKUP($A165,'Pre-Assessment Estimator'!$A$10:$Z$224,K$2,FALSE))</f>
        <v/>
      </c>
      <c r="L165" s="586"/>
      <c r="M165" s="587" t="str">
        <f>IF(VLOOKUP($A165,'Pre-Assessment Estimator'!$A$10:$Z$224,M$2,FALSE)=0,"",VLOOKUP($A165,'Pre-Assessment Estimator'!$A$10:$Z$224,M$2,FALSE))</f>
        <v/>
      </c>
      <c r="N165" s="582" t="str">
        <f>VLOOKUP($A165,'Pre-Assessment Estimator'!$A$10:$Z$224,N$2,FALSE)</f>
        <v>0 c. 0 %</v>
      </c>
      <c r="O165" s="581" t="str">
        <f>VLOOKUP($A165,'Pre-Assessment Estimator'!$A$10:$Z$224,O$2,FALSE)</f>
        <v>N/A</v>
      </c>
      <c r="P165" s="584" t="str">
        <f>IF(VLOOKUP($A165,'Pre-Assessment Estimator'!$A$10:$Z$224,P$2,FALSE)=0,"",VLOOKUP($A165,'Pre-Assessment Estimator'!$A$10:$Z$224,P$2,FALSE))</f>
        <v/>
      </c>
      <c r="Q165" s="584" t="str">
        <f>IF(VLOOKUP($A165,'Pre-Assessment Estimator'!$A$10:$Z$224,Q$2,FALSE)=0,"",VLOOKUP($A165,'Pre-Assessment Estimator'!$A$10:$Z$224,Q$2,FALSE))</f>
        <v/>
      </c>
      <c r="R165" s="585" t="str">
        <f>IF(VLOOKUP($A165,'Pre-Assessment Estimator'!$A$10:$Z$224,R$2,FALSE)=0,"",VLOOKUP($A165,'Pre-Assessment Estimator'!$A$10:$Z$224,R$2,FALSE))</f>
        <v/>
      </c>
      <c r="S165" s="588"/>
      <c r="T165" s="587" t="str">
        <f>IF(VLOOKUP($A165,'Pre-Assessment Estimator'!$A$10:$Z$224,T$2,FALSE)=0,"",VLOOKUP($A165,'Pre-Assessment Estimator'!$A$10:$Z$224,T$2,FALSE))</f>
        <v/>
      </c>
      <c r="U165" s="582" t="str">
        <f>VLOOKUP($A165,'Pre-Assessment Estimator'!$A$10:$Z$224,U$2,FALSE)</f>
        <v>0 c. 0 %</v>
      </c>
      <c r="V165" s="581" t="str">
        <f>VLOOKUP($A165,'Pre-Assessment Estimator'!$A$10:$Z$224,V$2,FALSE)</f>
        <v>N/A</v>
      </c>
      <c r="W165" s="584" t="str">
        <f>IF(VLOOKUP($A165,'Pre-Assessment Estimator'!$A$10:$Z$224,W$2,FALSE)=0,"",VLOOKUP($A165,'Pre-Assessment Estimator'!$A$10:$Z$224,W$2,FALSE))</f>
        <v/>
      </c>
      <c r="X165" s="584" t="str">
        <f>IF(VLOOKUP($A165,'Pre-Assessment Estimator'!$A$10:$Z$224,X$2,FALSE)=0,"",VLOOKUP($A165,'Pre-Assessment Estimator'!$A$10:$Z$224,X$2,FALSE))</f>
        <v/>
      </c>
      <c r="Y165" s="370" t="str">
        <f>IF(VLOOKUP($A165,'Pre-Assessment Estimator'!$A$10:$Z$224,Y$2,FALSE)=0,"",VLOOKUP($A165,'Pre-Assessment Estimator'!$A$10:$Z$224,Y$2,FALSE))</f>
        <v/>
      </c>
      <c r="Z165" s="705"/>
      <c r="AA165" s="584"/>
      <c r="AE165" s="386">
        <f t="shared" si="2"/>
        <v>1</v>
      </c>
      <c r="AF165" s="95" t="e">
        <f>VLOOKUP(J165,'Assessment Details'!$O$45:$P$48,2,FALSE)</f>
        <v>#N/A</v>
      </c>
      <c r="AG165" s="95" t="e">
        <f>VLOOKUP(Q165,'Assessment Details'!$O$45:$P$48,2,FALSE)</f>
        <v>#N/A</v>
      </c>
      <c r="AH165" s="95" t="e">
        <f>VLOOKUP(X165,'Assessment Details'!$O$45:$P$48,2,FALSE)</f>
        <v>#N/A</v>
      </c>
    </row>
    <row r="166" spans="1:34" x14ac:dyDescent="0.25">
      <c r="A166" s="836">
        <v>157</v>
      </c>
      <c r="B166" s="1262"/>
      <c r="C166" s="1262"/>
      <c r="D166" s="993" t="str">
        <f>VLOOKUP($A166,'Pre-Assessment Estimator'!$A$10:$Z$224,D$2,FALSE)</f>
        <v>Pre-requisite: statutory obligations fulfilled</v>
      </c>
      <c r="E166" s="581" t="str">
        <f>VLOOKUP($A166,'Pre-Assessment Estimator'!$A$10:$Z$224,E$2,FALSE)</f>
        <v>Yes/No</v>
      </c>
      <c r="F166" s="587" t="str">
        <f>IF(VLOOKUP($A166,'Pre-Assessment Estimator'!$A$10:$Z$224,F$2,FALSE)=0,"",VLOOKUP($A166,'Pre-Assessment Estimator'!$A$10:$Z$224,F$2,FALSE))</f>
        <v/>
      </c>
      <c r="G166" s="1239" t="str">
        <f>VLOOKUP($A166,'Pre-Assessment Estimator'!$A$10:$Z$224,G$2,FALSE)</f>
        <v>-</v>
      </c>
      <c r="H166" s="583" t="str">
        <f>VLOOKUP($A166,'Pre-Assessment Estimator'!$A$10:$Z$224,H$2,FALSE)</f>
        <v>N/A</v>
      </c>
      <c r="I166" s="584" t="str">
        <f>IF(VLOOKUP($A166,'Pre-Assessment Estimator'!$A$10:$Z$224,I$2,FALSE)=0,"",VLOOKUP($A166,'Pre-Assessment Estimator'!$A$10:$Z$224,I$2,FALSE))</f>
        <v/>
      </c>
      <c r="J166" s="584" t="str">
        <f>IF(VLOOKUP($A166,'Pre-Assessment Estimator'!$A$10:$Z$224,J$2,FALSE)=0,"",VLOOKUP($A166,'Pre-Assessment Estimator'!$A$10:$Z$224,J$2,FALSE))</f>
        <v/>
      </c>
      <c r="K166" s="585" t="str">
        <f>IF(VLOOKUP($A166,'Pre-Assessment Estimator'!$A$10:$Z$224,K$2,FALSE)=0,"",VLOOKUP($A166,'Pre-Assessment Estimator'!$A$10:$Z$224,K$2,FALSE))</f>
        <v/>
      </c>
      <c r="L166" s="586"/>
      <c r="M166" s="587" t="str">
        <f>IF(VLOOKUP($A166,'Pre-Assessment Estimator'!$A$10:$Z$224,M$2,FALSE)=0,"",VLOOKUP($A166,'Pre-Assessment Estimator'!$A$10:$Z$224,M$2,FALSE))</f>
        <v/>
      </c>
      <c r="N166" s="582" t="str">
        <f>VLOOKUP($A166,'Pre-Assessment Estimator'!$A$10:$Z$224,N$2,FALSE)</f>
        <v>-</v>
      </c>
      <c r="O166" s="581" t="str">
        <f>VLOOKUP($A166,'Pre-Assessment Estimator'!$A$10:$Z$224,O$2,FALSE)</f>
        <v>N/A</v>
      </c>
      <c r="P166" s="584" t="str">
        <f>IF(VLOOKUP($A166,'Pre-Assessment Estimator'!$A$10:$Z$224,P$2,FALSE)=0,"",VLOOKUP($A166,'Pre-Assessment Estimator'!$A$10:$Z$224,P$2,FALSE))</f>
        <v/>
      </c>
      <c r="Q166" s="584" t="str">
        <f>IF(VLOOKUP($A166,'Pre-Assessment Estimator'!$A$10:$Z$224,Q$2,FALSE)=0,"",VLOOKUP($A166,'Pre-Assessment Estimator'!$A$10:$Z$224,Q$2,FALSE))</f>
        <v/>
      </c>
      <c r="R166" s="585" t="str">
        <f>IF(VLOOKUP($A166,'Pre-Assessment Estimator'!$A$10:$Z$224,R$2,FALSE)=0,"",VLOOKUP($A166,'Pre-Assessment Estimator'!$A$10:$Z$224,R$2,FALSE))</f>
        <v/>
      </c>
      <c r="S166" s="588"/>
      <c r="T166" s="587" t="str">
        <f>IF(VLOOKUP($A166,'Pre-Assessment Estimator'!$A$10:$Z$224,T$2,FALSE)=0,"",VLOOKUP($A166,'Pre-Assessment Estimator'!$A$10:$Z$224,T$2,FALSE))</f>
        <v/>
      </c>
      <c r="U166" s="582" t="str">
        <f>VLOOKUP($A166,'Pre-Assessment Estimator'!$A$10:$Z$224,U$2,FALSE)</f>
        <v>-</v>
      </c>
      <c r="V166" s="581" t="str">
        <f>VLOOKUP($A166,'Pre-Assessment Estimator'!$A$10:$Z$224,V$2,FALSE)</f>
        <v>N/A</v>
      </c>
      <c r="W166" s="584" t="str">
        <f>IF(VLOOKUP($A166,'Pre-Assessment Estimator'!$A$10:$Z$224,W$2,FALSE)=0,"",VLOOKUP($A166,'Pre-Assessment Estimator'!$A$10:$Z$224,W$2,FALSE))</f>
        <v/>
      </c>
      <c r="X166" s="584" t="str">
        <f>IF(VLOOKUP($A166,'Pre-Assessment Estimator'!$A$10:$Z$224,X$2,FALSE)=0,"",VLOOKUP($A166,'Pre-Assessment Estimator'!$A$10:$Z$224,X$2,FALSE))</f>
        <v/>
      </c>
      <c r="Y166" s="370" t="str">
        <f>IF(VLOOKUP($A166,'Pre-Assessment Estimator'!$A$10:$Z$224,Y$2,FALSE)=0,"",VLOOKUP($A166,'Pre-Assessment Estimator'!$A$10:$Z$224,Y$2,FALSE))</f>
        <v/>
      </c>
      <c r="Z166" s="705"/>
      <c r="AA166" s="584"/>
      <c r="AE166" s="386">
        <f t="shared" si="2"/>
        <v>1</v>
      </c>
      <c r="AF166" s="95" t="e">
        <f>VLOOKUP(J166,'Assessment Details'!$O$45:$P$48,2,FALSE)</f>
        <v>#N/A</v>
      </c>
      <c r="AG166" s="95" t="e">
        <f>VLOOKUP(Q166,'Assessment Details'!$O$45:$P$48,2,FALSE)</f>
        <v>#N/A</v>
      </c>
      <c r="AH166" s="95" t="e">
        <f>VLOOKUP(X166,'Assessment Details'!$O$45:$P$48,2,FALSE)</f>
        <v>#N/A</v>
      </c>
    </row>
    <row r="167" spans="1:34" x14ac:dyDescent="0.25">
      <c r="A167" s="836">
        <v>158</v>
      </c>
      <c r="B167" s="1262"/>
      <c r="C167" s="1262"/>
      <c r="D167" s="340" t="str">
        <f>VLOOKUP($A167,'Pre-Assessment Estimator'!$A$10:$Z$224,D$2,FALSE)</f>
        <v>Survey and evaluation</v>
      </c>
      <c r="E167" s="581">
        <f>VLOOKUP($A167,'Pre-Assessment Estimator'!$A$10:$Z$224,E$2,FALSE)</f>
        <v>1</v>
      </c>
      <c r="F167" s="587" t="str">
        <f>IF(VLOOKUP($A167,'Pre-Assessment Estimator'!$A$10:$Z$224,F$2,FALSE)=0,"",VLOOKUP($A167,'Pre-Assessment Estimator'!$A$10:$Z$224,F$2,FALSE))</f>
        <v/>
      </c>
      <c r="G167" s="1239">
        <f>VLOOKUP($A167,'Pre-Assessment Estimator'!$A$10:$Z$224,G$2,FALSE)</f>
        <v>0</v>
      </c>
      <c r="H167" s="583" t="str">
        <f>VLOOKUP($A167,'Pre-Assessment Estimator'!$A$10:$Z$224,H$2,FALSE)</f>
        <v>Good</v>
      </c>
      <c r="I167" s="584" t="str">
        <f>IF(VLOOKUP($A167,'Pre-Assessment Estimator'!$A$10:$Z$224,I$2,FALSE)=0,"",VLOOKUP($A167,'Pre-Assessment Estimator'!$A$10:$Z$224,I$2,FALSE))</f>
        <v/>
      </c>
      <c r="J167" s="584" t="str">
        <f>IF(VLOOKUP($A167,'Pre-Assessment Estimator'!$A$10:$Z$224,J$2,FALSE)=0,"",VLOOKUP($A167,'Pre-Assessment Estimator'!$A$10:$Z$224,J$2,FALSE))</f>
        <v/>
      </c>
      <c r="K167" s="585" t="str">
        <f>IF(VLOOKUP($A167,'Pre-Assessment Estimator'!$A$10:$Z$224,K$2,FALSE)=0,"",VLOOKUP($A167,'Pre-Assessment Estimator'!$A$10:$Z$224,K$2,FALSE))</f>
        <v/>
      </c>
      <c r="L167" s="586"/>
      <c r="M167" s="587" t="str">
        <f>IF(VLOOKUP($A167,'Pre-Assessment Estimator'!$A$10:$Z$224,M$2,FALSE)=0,"",VLOOKUP($A167,'Pre-Assessment Estimator'!$A$10:$Z$224,M$2,FALSE))</f>
        <v/>
      </c>
      <c r="N167" s="582">
        <f>VLOOKUP($A167,'Pre-Assessment Estimator'!$A$10:$Z$224,N$2,FALSE)</f>
        <v>0</v>
      </c>
      <c r="O167" s="581" t="str">
        <f>VLOOKUP($A167,'Pre-Assessment Estimator'!$A$10:$Z$224,O$2,FALSE)</f>
        <v>Good</v>
      </c>
      <c r="P167" s="584" t="str">
        <f>IF(VLOOKUP($A167,'Pre-Assessment Estimator'!$A$10:$Z$224,P$2,FALSE)=0,"",VLOOKUP($A167,'Pre-Assessment Estimator'!$A$10:$Z$224,P$2,FALSE))</f>
        <v/>
      </c>
      <c r="Q167" s="584" t="str">
        <f>IF(VLOOKUP($A167,'Pre-Assessment Estimator'!$A$10:$Z$224,Q$2,FALSE)=0,"",VLOOKUP($A167,'Pre-Assessment Estimator'!$A$10:$Z$224,Q$2,FALSE))</f>
        <v/>
      </c>
      <c r="R167" s="585" t="str">
        <f>IF(VLOOKUP($A167,'Pre-Assessment Estimator'!$A$10:$Z$224,R$2,FALSE)=0,"",VLOOKUP($A167,'Pre-Assessment Estimator'!$A$10:$Z$224,R$2,FALSE))</f>
        <v/>
      </c>
      <c r="S167" s="588"/>
      <c r="T167" s="587" t="str">
        <f>IF(VLOOKUP($A167,'Pre-Assessment Estimator'!$A$10:$Z$224,T$2,FALSE)=0,"",VLOOKUP($A167,'Pre-Assessment Estimator'!$A$10:$Z$224,T$2,FALSE))</f>
        <v/>
      </c>
      <c r="U167" s="582">
        <f>VLOOKUP($A167,'Pre-Assessment Estimator'!$A$10:$Z$224,U$2,FALSE)</f>
        <v>0</v>
      </c>
      <c r="V167" s="581" t="str">
        <f>VLOOKUP($A167,'Pre-Assessment Estimator'!$A$10:$Z$224,V$2,FALSE)</f>
        <v>Good</v>
      </c>
      <c r="W167" s="584" t="str">
        <f>IF(VLOOKUP($A167,'Pre-Assessment Estimator'!$A$10:$Z$224,W$2,FALSE)=0,"",VLOOKUP($A167,'Pre-Assessment Estimator'!$A$10:$Z$224,W$2,FALSE))</f>
        <v/>
      </c>
      <c r="X167" s="584" t="str">
        <f>IF(VLOOKUP($A167,'Pre-Assessment Estimator'!$A$10:$Z$224,X$2,FALSE)=0,"",VLOOKUP($A167,'Pre-Assessment Estimator'!$A$10:$Z$224,X$2,FALSE))</f>
        <v/>
      </c>
      <c r="Y167" s="370" t="str">
        <f>IF(VLOOKUP($A167,'Pre-Assessment Estimator'!$A$10:$Z$224,Y$2,FALSE)=0,"",VLOOKUP($A167,'Pre-Assessment Estimator'!$A$10:$Z$224,Y$2,FALSE))</f>
        <v/>
      </c>
      <c r="Z167" s="705"/>
      <c r="AA167" s="584"/>
      <c r="AE167" s="386">
        <f t="shared" si="2"/>
        <v>1</v>
      </c>
      <c r="AF167" s="95" t="e">
        <f>VLOOKUP(J167,'Assessment Details'!$O$45:$P$48,2,FALSE)</f>
        <v>#N/A</v>
      </c>
      <c r="AG167" s="95" t="e">
        <f>VLOOKUP(Q167,'Assessment Details'!$O$45:$P$48,2,FALSE)</f>
        <v>#N/A</v>
      </c>
      <c r="AH167" s="95" t="e">
        <f>VLOOKUP(X167,'Assessment Details'!$O$45:$P$48,2,FALSE)</f>
        <v>#N/A</v>
      </c>
    </row>
    <row r="168" spans="1:34" x14ac:dyDescent="0.25">
      <c r="A168" s="836">
        <v>159</v>
      </c>
      <c r="B168" s="1262"/>
      <c r="C168" s="1262"/>
      <c r="D168" s="340" t="str">
        <f>VLOOKUP($A168,'Pre-Assessment Estimator'!$A$10:$Z$224,D$2,FALSE)</f>
        <v>Determin ecological possibilities</v>
      </c>
      <c r="E168" s="581">
        <f>VLOOKUP($A168,'Pre-Assessment Estimator'!$A$10:$Z$224,E$2,FALSE)</f>
        <v>1</v>
      </c>
      <c r="F168" s="587" t="str">
        <f>IF(VLOOKUP($A168,'Pre-Assessment Estimator'!$A$10:$Z$224,F$2,FALSE)=0,"",VLOOKUP($A168,'Pre-Assessment Estimator'!$A$10:$Z$224,F$2,FALSE))</f>
        <v/>
      </c>
      <c r="G168" s="1239">
        <f>VLOOKUP($A168,'Pre-Assessment Estimator'!$A$10:$Z$224,G$2,FALSE)</f>
        <v>0</v>
      </c>
      <c r="H168" s="583" t="str">
        <f>VLOOKUP($A168,'Pre-Assessment Estimator'!$A$10:$Z$224,H$2,FALSE)</f>
        <v>N/A</v>
      </c>
      <c r="I168" s="584" t="str">
        <f>IF(VLOOKUP($A168,'Pre-Assessment Estimator'!$A$10:$Z$224,I$2,FALSE)=0,"",VLOOKUP($A168,'Pre-Assessment Estimator'!$A$10:$Z$224,I$2,FALSE))</f>
        <v/>
      </c>
      <c r="J168" s="584" t="str">
        <f>IF(VLOOKUP($A168,'Pre-Assessment Estimator'!$A$10:$Z$224,J$2,FALSE)=0,"",VLOOKUP($A168,'Pre-Assessment Estimator'!$A$10:$Z$224,J$2,FALSE))</f>
        <v/>
      </c>
      <c r="K168" s="585" t="str">
        <f>IF(VLOOKUP($A168,'Pre-Assessment Estimator'!$A$10:$Z$224,K$2,FALSE)=0,"",VLOOKUP($A168,'Pre-Assessment Estimator'!$A$10:$Z$224,K$2,FALSE))</f>
        <v/>
      </c>
      <c r="L168" s="586"/>
      <c r="M168" s="587" t="str">
        <f>IF(VLOOKUP($A168,'Pre-Assessment Estimator'!$A$10:$Z$224,M$2,FALSE)=0,"",VLOOKUP($A168,'Pre-Assessment Estimator'!$A$10:$Z$224,M$2,FALSE))</f>
        <v/>
      </c>
      <c r="N168" s="582">
        <f>VLOOKUP($A168,'Pre-Assessment Estimator'!$A$10:$Z$224,N$2,FALSE)</f>
        <v>0</v>
      </c>
      <c r="O168" s="581" t="str">
        <f>VLOOKUP($A168,'Pre-Assessment Estimator'!$A$10:$Z$224,O$2,FALSE)</f>
        <v>N/A</v>
      </c>
      <c r="P168" s="584" t="str">
        <f>IF(VLOOKUP($A168,'Pre-Assessment Estimator'!$A$10:$Z$224,P$2,FALSE)=0,"",VLOOKUP($A168,'Pre-Assessment Estimator'!$A$10:$Z$224,P$2,FALSE))</f>
        <v/>
      </c>
      <c r="Q168" s="584" t="str">
        <f>IF(VLOOKUP($A168,'Pre-Assessment Estimator'!$A$10:$Z$224,Q$2,FALSE)=0,"",VLOOKUP($A168,'Pre-Assessment Estimator'!$A$10:$Z$224,Q$2,FALSE))</f>
        <v/>
      </c>
      <c r="R168" s="585" t="str">
        <f>IF(VLOOKUP($A168,'Pre-Assessment Estimator'!$A$10:$Z$224,R$2,FALSE)=0,"",VLOOKUP($A168,'Pre-Assessment Estimator'!$A$10:$Z$224,R$2,FALSE))</f>
        <v/>
      </c>
      <c r="S168" s="588"/>
      <c r="T168" s="587" t="str">
        <f>IF(VLOOKUP($A168,'Pre-Assessment Estimator'!$A$10:$Z$224,T$2,FALSE)=0,"",VLOOKUP($A168,'Pre-Assessment Estimator'!$A$10:$Z$224,T$2,FALSE))</f>
        <v/>
      </c>
      <c r="U168" s="582">
        <f>VLOOKUP($A168,'Pre-Assessment Estimator'!$A$10:$Z$224,U$2,FALSE)</f>
        <v>0</v>
      </c>
      <c r="V168" s="581" t="str">
        <f>VLOOKUP($A168,'Pre-Assessment Estimator'!$A$10:$Z$224,V$2,FALSE)</f>
        <v>N/A</v>
      </c>
      <c r="W168" s="584" t="str">
        <f>IF(VLOOKUP($A168,'Pre-Assessment Estimator'!$A$10:$Z$224,W$2,FALSE)=0,"",VLOOKUP($A168,'Pre-Assessment Estimator'!$A$10:$Z$224,W$2,FALSE))</f>
        <v/>
      </c>
      <c r="X168" s="584" t="str">
        <f>IF(VLOOKUP($A168,'Pre-Assessment Estimator'!$A$10:$Z$224,X$2,FALSE)=0,"",VLOOKUP($A168,'Pre-Assessment Estimator'!$A$10:$Z$224,X$2,FALSE))</f>
        <v/>
      </c>
      <c r="Y168" s="370" t="str">
        <f>IF(VLOOKUP($A168,'Pre-Assessment Estimator'!$A$10:$Z$224,Y$2,FALSE)=0,"",VLOOKUP($A168,'Pre-Assessment Estimator'!$A$10:$Z$224,Y$2,FALSE))</f>
        <v/>
      </c>
      <c r="Z168" s="705"/>
      <c r="AA168" s="584"/>
      <c r="AE168" s="386">
        <f t="shared" si="2"/>
        <v>1</v>
      </c>
      <c r="AF168" s="95" t="e">
        <f>VLOOKUP(J168,'Assessment Details'!$O$45:$P$48,2,FALSE)</f>
        <v>#N/A</v>
      </c>
      <c r="AG168" s="95" t="e">
        <f>VLOOKUP(Q168,'Assessment Details'!$O$45:$P$48,2,FALSE)</f>
        <v>#N/A</v>
      </c>
      <c r="AH168" s="95" t="e">
        <f>VLOOKUP(X168,'Assessment Details'!$O$45:$P$48,2,FALSE)</f>
        <v>#N/A</v>
      </c>
    </row>
    <row r="169" spans="1:34" x14ac:dyDescent="0.25">
      <c r="A169" s="836">
        <v>160</v>
      </c>
      <c r="B169" s="1262"/>
      <c r="C169" s="1262"/>
      <c r="D169" s="993" t="str">
        <f>VLOOKUP($A169,'Pre-Assessment Estimator'!$A$10:$Z$224,D$2,FALSE)</f>
        <v>LE 03 Managing impacts on ecology</v>
      </c>
      <c r="E169" s="581">
        <f>VLOOKUP($A169,'Pre-Assessment Estimator'!$A$10:$Z$224,E$2,FALSE)</f>
        <v>3</v>
      </c>
      <c r="F169" s="587" t="str">
        <f>IF(VLOOKUP($A169,'Pre-Assessment Estimator'!$A$10:$Z$224,F$2,FALSE)=0,"",VLOOKUP($A169,'Pre-Assessment Estimator'!$A$10:$Z$224,F$2,FALSE))</f>
        <v/>
      </c>
      <c r="G169" s="1239" t="str">
        <f>VLOOKUP($A169,'Pre-Assessment Estimator'!$A$10:$Z$224,G$2,FALSE)</f>
        <v>0 c. 0 %</v>
      </c>
      <c r="H169" s="583" t="str">
        <f>VLOOKUP($A169,'Pre-Assessment Estimator'!$A$10:$Z$224,H$2,FALSE)</f>
        <v>N/A</v>
      </c>
      <c r="I169" s="584" t="str">
        <f>IF(VLOOKUP($A169,'Pre-Assessment Estimator'!$A$10:$Z$224,I$2,FALSE)=0,"",VLOOKUP($A169,'Pre-Assessment Estimator'!$A$10:$Z$224,I$2,FALSE))</f>
        <v/>
      </c>
      <c r="J169" s="584" t="str">
        <f>IF(VLOOKUP($A169,'Pre-Assessment Estimator'!$A$10:$Z$224,J$2,FALSE)=0,"",VLOOKUP($A169,'Pre-Assessment Estimator'!$A$10:$Z$224,J$2,FALSE))</f>
        <v/>
      </c>
      <c r="K169" s="585" t="str">
        <f>IF(VLOOKUP($A169,'Pre-Assessment Estimator'!$A$10:$Z$224,K$2,FALSE)=0,"",VLOOKUP($A169,'Pre-Assessment Estimator'!$A$10:$Z$224,K$2,FALSE))</f>
        <v/>
      </c>
      <c r="L169" s="586"/>
      <c r="M169" s="587" t="str">
        <f>IF(VLOOKUP($A169,'Pre-Assessment Estimator'!$A$10:$Z$224,M$2,FALSE)=0,"",VLOOKUP($A169,'Pre-Assessment Estimator'!$A$10:$Z$224,M$2,FALSE))</f>
        <v/>
      </c>
      <c r="N169" s="582" t="str">
        <f>VLOOKUP($A169,'Pre-Assessment Estimator'!$A$10:$Z$224,N$2,FALSE)</f>
        <v>0 c. 0 %</v>
      </c>
      <c r="O169" s="581" t="str">
        <f>VLOOKUP($A169,'Pre-Assessment Estimator'!$A$10:$Z$224,O$2,FALSE)</f>
        <v>N/A</v>
      </c>
      <c r="P169" s="584" t="str">
        <f>IF(VLOOKUP($A169,'Pre-Assessment Estimator'!$A$10:$Z$224,P$2,FALSE)=0,"",VLOOKUP($A169,'Pre-Assessment Estimator'!$A$10:$Z$224,P$2,FALSE))</f>
        <v/>
      </c>
      <c r="Q169" s="584" t="str">
        <f>IF(VLOOKUP($A169,'Pre-Assessment Estimator'!$A$10:$Z$224,Q$2,FALSE)=0,"",VLOOKUP($A169,'Pre-Assessment Estimator'!$A$10:$Z$224,Q$2,FALSE))</f>
        <v/>
      </c>
      <c r="R169" s="585" t="str">
        <f>IF(VLOOKUP($A169,'Pre-Assessment Estimator'!$A$10:$Z$224,R$2,FALSE)=0,"",VLOOKUP($A169,'Pre-Assessment Estimator'!$A$10:$Z$224,R$2,FALSE))</f>
        <v/>
      </c>
      <c r="S169" s="588"/>
      <c r="T169" s="587" t="str">
        <f>IF(VLOOKUP($A169,'Pre-Assessment Estimator'!$A$10:$Z$224,T$2,FALSE)=0,"",VLOOKUP($A169,'Pre-Assessment Estimator'!$A$10:$Z$224,T$2,FALSE))</f>
        <v/>
      </c>
      <c r="U169" s="582" t="str">
        <f>VLOOKUP($A169,'Pre-Assessment Estimator'!$A$10:$Z$224,U$2,FALSE)</f>
        <v>0 c. 0 %</v>
      </c>
      <c r="V169" s="581" t="str">
        <f>VLOOKUP($A169,'Pre-Assessment Estimator'!$A$10:$Z$224,V$2,FALSE)</f>
        <v>N/A</v>
      </c>
      <c r="W169" s="584" t="str">
        <f>IF(VLOOKUP($A169,'Pre-Assessment Estimator'!$A$10:$Z$224,W$2,FALSE)=0,"",VLOOKUP($A169,'Pre-Assessment Estimator'!$A$10:$Z$224,W$2,FALSE))</f>
        <v/>
      </c>
      <c r="X169" s="584" t="str">
        <f>IF(VLOOKUP($A169,'Pre-Assessment Estimator'!$A$10:$Z$224,X$2,FALSE)=0,"",VLOOKUP($A169,'Pre-Assessment Estimator'!$A$10:$Z$224,X$2,FALSE))</f>
        <v/>
      </c>
      <c r="Y169" s="370" t="str">
        <f>IF(VLOOKUP($A169,'Pre-Assessment Estimator'!$A$10:$Z$224,Y$2,FALSE)=0,"",VLOOKUP($A169,'Pre-Assessment Estimator'!$A$10:$Z$224,Y$2,FALSE))</f>
        <v/>
      </c>
      <c r="Z169" s="705"/>
      <c r="AA169" s="584"/>
      <c r="AE169" s="386">
        <f t="shared" si="2"/>
        <v>1</v>
      </c>
      <c r="AF169" s="95" t="e">
        <f>VLOOKUP(J169,'Assessment Details'!$O$45:$P$48,2,FALSE)</f>
        <v>#N/A</v>
      </c>
      <c r="AG169" s="95" t="e">
        <f>VLOOKUP(Q169,'Assessment Details'!$O$45:$P$48,2,FALSE)</f>
        <v>#N/A</v>
      </c>
      <c r="AH169" s="95" t="e">
        <f>VLOOKUP(X169,'Assessment Details'!$O$45:$P$48,2,FALSE)</f>
        <v>#N/A</v>
      </c>
    </row>
    <row r="170" spans="1:34" x14ac:dyDescent="0.25">
      <c r="A170" s="836">
        <v>161</v>
      </c>
      <c r="B170" s="1262"/>
      <c r="C170" s="1262"/>
      <c r="D170" s="340" t="str">
        <f>VLOOKUP($A170,'Pre-Assessment Estimator'!$A$10:$Z$224,D$2,FALSE)</f>
        <v>Planning and measures on site</v>
      </c>
      <c r="E170" s="581">
        <f>VLOOKUP($A170,'Pre-Assessment Estimator'!$A$10:$Z$224,E$2,FALSE)</f>
        <v>1</v>
      </c>
      <c r="F170" s="587" t="str">
        <f>IF(VLOOKUP($A170,'Pre-Assessment Estimator'!$A$10:$Z$224,F$2,FALSE)=0,"",VLOOKUP($A170,'Pre-Assessment Estimator'!$A$10:$Z$224,F$2,FALSE))</f>
        <v/>
      </c>
      <c r="G170" s="1239">
        <f>VLOOKUP($A170,'Pre-Assessment Estimator'!$A$10:$Z$224,G$2,FALSE)</f>
        <v>0</v>
      </c>
      <c r="H170" s="583" t="str">
        <f>VLOOKUP($A170,'Pre-Assessment Estimator'!$A$10:$Z$224,H$2,FALSE)</f>
        <v>N/A</v>
      </c>
      <c r="I170" s="584" t="str">
        <f>IF(VLOOKUP($A170,'Pre-Assessment Estimator'!$A$10:$Z$224,I$2,FALSE)=0,"",VLOOKUP($A170,'Pre-Assessment Estimator'!$A$10:$Z$224,I$2,FALSE))</f>
        <v/>
      </c>
      <c r="J170" s="584" t="str">
        <f>IF(VLOOKUP($A170,'Pre-Assessment Estimator'!$A$10:$Z$224,J$2,FALSE)=0,"",VLOOKUP($A170,'Pre-Assessment Estimator'!$A$10:$Z$224,J$2,FALSE))</f>
        <v/>
      </c>
      <c r="K170" s="585" t="str">
        <f>IF(VLOOKUP($A170,'Pre-Assessment Estimator'!$A$10:$Z$224,K$2,FALSE)=0,"",VLOOKUP($A170,'Pre-Assessment Estimator'!$A$10:$Z$224,K$2,FALSE))</f>
        <v/>
      </c>
      <c r="L170" s="586"/>
      <c r="M170" s="587" t="str">
        <f>IF(VLOOKUP($A170,'Pre-Assessment Estimator'!$A$10:$Z$224,M$2,FALSE)=0,"",VLOOKUP($A170,'Pre-Assessment Estimator'!$A$10:$Z$224,M$2,FALSE))</f>
        <v/>
      </c>
      <c r="N170" s="582">
        <f>VLOOKUP($A170,'Pre-Assessment Estimator'!$A$10:$Z$224,N$2,FALSE)</f>
        <v>0</v>
      </c>
      <c r="O170" s="581" t="str">
        <f>VLOOKUP($A170,'Pre-Assessment Estimator'!$A$10:$Z$224,O$2,FALSE)</f>
        <v>N/A</v>
      </c>
      <c r="P170" s="584" t="str">
        <f>IF(VLOOKUP($A170,'Pre-Assessment Estimator'!$A$10:$Z$224,P$2,FALSE)=0,"",VLOOKUP($A170,'Pre-Assessment Estimator'!$A$10:$Z$224,P$2,FALSE))</f>
        <v/>
      </c>
      <c r="Q170" s="584" t="str">
        <f>IF(VLOOKUP($A170,'Pre-Assessment Estimator'!$A$10:$Z$224,Q$2,FALSE)=0,"",VLOOKUP($A170,'Pre-Assessment Estimator'!$A$10:$Z$224,Q$2,FALSE))</f>
        <v/>
      </c>
      <c r="R170" s="585" t="str">
        <f>IF(VLOOKUP($A170,'Pre-Assessment Estimator'!$A$10:$Z$224,R$2,FALSE)=0,"",VLOOKUP($A170,'Pre-Assessment Estimator'!$A$10:$Z$224,R$2,FALSE))</f>
        <v/>
      </c>
      <c r="S170" s="588"/>
      <c r="T170" s="587" t="str">
        <f>IF(VLOOKUP($A170,'Pre-Assessment Estimator'!$A$10:$Z$224,T$2,FALSE)=0,"",VLOOKUP($A170,'Pre-Assessment Estimator'!$A$10:$Z$224,T$2,FALSE))</f>
        <v/>
      </c>
      <c r="U170" s="582">
        <f>VLOOKUP($A170,'Pre-Assessment Estimator'!$A$10:$Z$224,U$2,FALSE)</f>
        <v>0</v>
      </c>
      <c r="V170" s="581" t="str">
        <f>VLOOKUP($A170,'Pre-Assessment Estimator'!$A$10:$Z$224,V$2,FALSE)</f>
        <v>N/A</v>
      </c>
      <c r="W170" s="584" t="str">
        <f>IF(VLOOKUP($A170,'Pre-Assessment Estimator'!$A$10:$Z$224,W$2,FALSE)=0,"",VLOOKUP($A170,'Pre-Assessment Estimator'!$A$10:$Z$224,W$2,FALSE))</f>
        <v/>
      </c>
      <c r="X170" s="584" t="str">
        <f>IF(VLOOKUP($A170,'Pre-Assessment Estimator'!$A$10:$Z$224,X$2,FALSE)=0,"",VLOOKUP($A170,'Pre-Assessment Estimator'!$A$10:$Z$224,X$2,FALSE))</f>
        <v/>
      </c>
      <c r="Y170" s="370" t="str">
        <f>IF(VLOOKUP($A170,'Pre-Assessment Estimator'!$A$10:$Z$224,Y$2,FALSE)=0,"",VLOOKUP($A170,'Pre-Assessment Estimator'!$A$10:$Z$224,Y$2,FALSE))</f>
        <v/>
      </c>
      <c r="Z170" s="705"/>
      <c r="AA170" s="584"/>
      <c r="AE170" s="386">
        <f t="shared" si="2"/>
        <v>1</v>
      </c>
      <c r="AF170" s="95" t="e">
        <f>VLOOKUP(J170,'Assessment Details'!$O$45:$P$48,2,FALSE)</f>
        <v>#N/A</v>
      </c>
      <c r="AG170" s="95" t="e">
        <f>VLOOKUP(Q170,'Assessment Details'!$O$45:$P$48,2,FALSE)</f>
        <v>#N/A</v>
      </c>
      <c r="AH170" s="95" t="e">
        <f>VLOOKUP(X170,'Assessment Details'!$O$45:$P$48,2,FALSE)</f>
        <v>#N/A</v>
      </c>
    </row>
    <row r="171" spans="1:34" x14ac:dyDescent="0.25">
      <c r="A171" s="836">
        <v>162</v>
      </c>
      <c r="B171" s="1262"/>
      <c r="C171" s="1262"/>
      <c r="D171" s="340" t="str">
        <f>VLOOKUP($A171,'Pre-Assessment Estimator'!$A$10:$Z$224,D$2,FALSE)</f>
        <v>Managing negative impacts</v>
      </c>
      <c r="E171" s="581">
        <f>VLOOKUP($A171,'Pre-Assessment Estimator'!$A$10:$Z$224,E$2,FALSE)</f>
        <v>2</v>
      </c>
      <c r="F171" s="587" t="str">
        <f>IF(VLOOKUP($A171,'Pre-Assessment Estimator'!$A$10:$Z$224,F$2,FALSE)=0,"",VLOOKUP($A171,'Pre-Assessment Estimator'!$A$10:$Z$224,F$2,FALSE))</f>
        <v/>
      </c>
      <c r="G171" s="1239">
        <f>VLOOKUP($A171,'Pre-Assessment Estimator'!$A$10:$Z$224,G$2,FALSE)</f>
        <v>0</v>
      </c>
      <c r="H171" s="583" t="str">
        <f>VLOOKUP($A171,'Pre-Assessment Estimator'!$A$10:$Z$224,H$2,FALSE)</f>
        <v>N/A</v>
      </c>
      <c r="I171" s="584" t="str">
        <f>IF(VLOOKUP($A171,'Pre-Assessment Estimator'!$A$10:$Z$224,I$2,FALSE)=0,"",VLOOKUP($A171,'Pre-Assessment Estimator'!$A$10:$Z$224,I$2,FALSE))</f>
        <v/>
      </c>
      <c r="J171" s="584" t="str">
        <f>IF(VLOOKUP($A171,'Pre-Assessment Estimator'!$A$10:$Z$224,J$2,FALSE)=0,"",VLOOKUP($A171,'Pre-Assessment Estimator'!$A$10:$Z$224,J$2,FALSE))</f>
        <v/>
      </c>
      <c r="K171" s="585" t="str">
        <f>IF(VLOOKUP($A171,'Pre-Assessment Estimator'!$A$10:$Z$224,K$2,FALSE)=0,"",VLOOKUP($A171,'Pre-Assessment Estimator'!$A$10:$Z$224,K$2,FALSE))</f>
        <v/>
      </c>
      <c r="L171" s="586"/>
      <c r="M171" s="587" t="str">
        <f>IF(VLOOKUP($A171,'Pre-Assessment Estimator'!$A$10:$Z$224,M$2,FALSE)=0,"",VLOOKUP($A171,'Pre-Assessment Estimator'!$A$10:$Z$224,M$2,FALSE))</f>
        <v/>
      </c>
      <c r="N171" s="582">
        <f>VLOOKUP($A171,'Pre-Assessment Estimator'!$A$10:$Z$224,N$2,FALSE)</f>
        <v>0</v>
      </c>
      <c r="O171" s="581" t="str">
        <f>VLOOKUP($A171,'Pre-Assessment Estimator'!$A$10:$Z$224,O$2,FALSE)</f>
        <v>N/A</v>
      </c>
      <c r="P171" s="584" t="str">
        <f>IF(VLOOKUP($A171,'Pre-Assessment Estimator'!$A$10:$Z$224,P$2,FALSE)=0,"",VLOOKUP($A171,'Pre-Assessment Estimator'!$A$10:$Z$224,P$2,FALSE))</f>
        <v/>
      </c>
      <c r="Q171" s="584" t="str">
        <f>IF(VLOOKUP($A171,'Pre-Assessment Estimator'!$A$10:$Z$224,Q$2,FALSE)=0,"",VLOOKUP($A171,'Pre-Assessment Estimator'!$A$10:$Z$224,Q$2,FALSE))</f>
        <v/>
      </c>
      <c r="R171" s="585" t="str">
        <f>IF(VLOOKUP($A171,'Pre-Assessment Estimator'!$A$10:$Z$224,R$2,FALSE)=0,"",VLOOKUP($A171,'Pre-Assessment Estimator'!$A$10:$Z$224,R$2,FALSE))</f>
        <v/>
      </c>
      <c r="S171" s="588"/>
      <c r="T171" s="587" t="str">
        <f>IF(VLOOKUP($A171,'Pre-Assessment Estimator'!$A$10:$Z$224,T$2,FALSE)=0,"",VLOOKUP($A171,'Pre-Assessment Estimator'!$A$10:$Z$224,T$2,FALSE))</f>
        <v/>
      </c>
      <c r="U171" s="582">
        <f>VLOOKUP($A171,'Pre-Assessment Estimator'!$A$10:$Z$224,U$2,FALSE)</f>
        <v>0</v>
      </c>
      <c r="V171" s="581" t="str">
        <f>VLOOKUP($A171,'Pre-Assessment Estimator'!$A$10:$Z$224,V$2,FALSE)</f>
        <v>N/A</v>
      </c>
      <c r="W171" s="584" t="str">
        <f>IF(VLOOKUP($A171,'Pre-Assessment Estimator'!$A$10:$Z$224,W$2,FALSE)=0,"",VLOOKUP($A171,'Pre-Assessment Estimator'!$A$10:$Z$224,W$2,FALSE))</f>
        <v/>
      </c>
      <c r="X171" s="584" t="str">
        <f>IF(VLOOKUP($A171,'Pre-Assessment Estimator'!$A$10:$Z$224,X$2,FALSE)=0,"",VLOOKUP($A171,'Pre-Assessment Estimator'!$A$10:$Z$224,X$2,FALSE))</f>
        <v/>
      </c>
      <c r="Y171" s="370" t="str">
        <f>IF(VLOOKUP($A171,'Pre-Assessment Estimator'!$A$10:$Z$224,Y$2,FALSE)=0,"",VLOOKUP($A171,'Pre-Assessment Estimator'!$A$10:$Z$224,Y$2,FALSE))</f>
        <v/>
      </c>
      <c r="Z171" s="705"/>
      <c r="AA171" s="584"/>
      <c r="AE171" s="386">
        <f t="shared" si="2"/>
        <v>1</v>
      </c>
      <c r="AF171" s="95" t="e">
        <f>VLOOKUP(J171,'Assessment Details'!$O$45:$P$48,2,FALSE)</f>
        <v>#N/A</v>
      </c>
      <c r="AG171" s="95" t="e">
        <f>VLOOKUP(Q171,'Assessment Details'!$O$45:$P$48,2,FALSE)</f>
        <v>#N/A</v>
      </c>
      <c r="AH171" s="95" t="e">
        <f>VLOOKUP(X171,'Assessment Details'!$O$45:$P$48,2,FALSE)</f>
        <v>#N/A</v>
      </c>
    </row>
    <row r="172" spans="1:34" x14ac:dyDescent="0.25">
      <c r="A172" s="836">
        <v>163</v>
      </c>
      <c r="B172" s="1262"/>
      <c r="C172" s="1262"/>
      <c r="D172" s="340" t="str">
        <f>VLOOKUP($A172,'Pre-Assessment Estimator'!$A$10:$Z$224,D$2,FALSE)</f>
        <v>LE 04 Ecological change and enhancement</v>
      </c>
      <c r="E172" s="581">
        <f>VLOOKUP($A172,'Pre-Assessment Estimator'!$A$10:$Z$224,E$2,FALSE)</f>
        <v>4</v>
      </c>
      <c r="F172" s="587" t="str">
        <f>IF(VLOOKUP($A172,'Pre-Assessment Estimator'!$A$10:$Z$224,F$2,FALSE)=0,"",VLOOKUP($A172,'Pre-Assessment Estimator'!$A$10:$Z$224,F$2,FALSE))</f>
        <v/>
      </c>
      <c r="G172" s="1239" t="str">
        <f>VLOOKUP($A172,'Pre-Assessment Estimator'!$A$10:$Z$224,G$2,FALSE)</f>
        <v>0 c. 0 %</v>
      </c>
      <c r="H172" s="583" t="str">
        <f>VLOOKUP($A172,'Pre-Assessment Estimator'!$A$10:$Z$224,H$2,FALSE)</f>
        <v>N/A</v>
      </c>
      <c r="I172" s="584" t="str">
        <f>IF(VLOOKUP($A172,'Pre-Assessment Estimator'!$A$10:$Z$224,I$2,FALSE)=0,"",VLOOKUP($A172,'Pre-Assessment Estimator'!$A$10:$Z$224,I$2,FALSE))</f>
        <v/>
      </c>
      <c r="J172" s="584" t="str">
        <f>IF(VLOOKUP($A172,'Pre-Assessment Estimator'!$A$10:$Z$224,J$2,FALSE)=0,"",VLOOKUP($A172,'Pre-Assessment Estimator'!$A$10:$Z$224,J$2,FALSE))</f>
        <v/>
      </c>
      <c r="K172" s="585" t="str">
        <f>IF(VLOOKUP($A172,'Pre-Assessment Estimator'!$A$10:$Z$224,K$2,FALSE)=0,"",VLOOKUP($A172,'Pre-Assessment Estimator'!$A$10:$Z$224,K$2,FALSE))</f>
        <v/>
      </c>
      <c r="L172" s="586"/>
      <c r="M172" s="587" t="str">
        <f>IF(VLOOKUP($A172,'Pre-Assessment Estimator'!$A$10:$Z$224,M$2,FALSE)=0,"",VLOOKUP($A172,'Pre-Assessment Estimator'!$A$10:$Z$224,M$2,FALSE))</f>
        <v/>
      </c>
      <c r="N172" s="582" t="str">
        <f>VLOOKUP($A172,'Pre-Assessment Estimator'!$A$10:$Z$224,N$2,FALSE)</f>
        <v>0 c. 0 %</v>
      </c>
      <c r="O172" s="581" t="str">
        <f>VLOOKUP($A172,'Pre-Assessment Estimator'!$A$10:$Z$224,O$2,FALSE)</f>
        <v>N/A</v>
      </c>
      <c r="P172" s="584" t="str">
        <f>IF(VLOOKUP($A172,'Pre-Assessment Estimator'!$A$10:$Z$224,P$2,FALSE)=0,"",VLOOKUP($A172,'Pre-Assessment Estimator'!$A$10:$Z$224,P$2,FALSE))</f>
        <v/>
      </c>
      <c r="Q172" s="584" t="str">
        <f>IF(VLOOKUP($A172,'Pre-Assessment Estimator'!$A$10:$Z$224,Q$2,FALSE)=0,"",VLOOKUP($A172,'Pre-Assessment Estimator'!$A$10:$Z$224,Q$2,FALSE))</f>
        <v/>
      </c>
      <c r="R172" s="585" t="str">
        <f>IF(VLOOKUP($A172,'Pre-Assessment Estimator'!$A$10:$Z$224,R$2,FALSE)=0,"",VLOOKUP($A172,'Pre-Assessment Estimator'!$A$10:$Z$224,R$2,FALSE))</f>
        <v/>
      </c>
      <c r="S172" s="588"/>
      <c r="T172" s="587" t="str">
        <f>IF(VLOOKUP($A172,'Pre-Assessment Estimator'!$A$10:$Z$224,T$2,FALSE)=0,"",VLOOKUP($A172,'Pre-Assessment Estimator'!$A$10:$Z$224,T$2,FALSE))</f>
        <v/>
      </c>
      <c r="U172" s="582" t="str">
        <f>VLOOKUP($A172,'Pre-Assessment Estimator'!$A$10:$Z$224,U$2,FALSE)</f>
        <v>0 c. 0 %</v>
      </c>
      <c r="V172" s="581" t="str">
        <f>VLOOKUP($A172,'Pre-Assessment Estimator'!$A$10:$Z$224,V$2,FALSE)</f>
        <v>N/A</v>
      </c>
      <c r="W172" s="584" t="str">
        <f>IF(VLOOKUP($A172,'Pre-Assessment Estimator'!$A$10:$Z$224,W$2,FALSE)=0,"",VLOOKUP($A172,'Pre-Assessment Estimator'!$A$10:$Z$224,W$2,FALSE))</f>
        <v/>
      </c>
      <c r="X172" s="584" t="str">
        <f>IF(VLOOKUP($A172,'Pre-Assessment Estimator'!$A$10:$Z$224,X$2,FALSE)=0,"",VLOOKUP($A172,'Pre-Assessment Estimator'!$A$10:$Z$224,X$2,FALSE))</f>
        <v/>
      </c>
      <c r="Y172" s="370" t="str">
        <f>IF(VLOOKUP($A172,'Pre-Assessment Estimator'!$A$10:$Z$224,Y$2,FALSE)=0,"",VLOOKUP($A172,'Pre-Assessment Estimator'!$A$10:$Z$224,Y$2,FALSE))</f>
        <v/>
      </c>
      <c r="Z172" s="705"/>
      <c r="AA172" s="584"/>
      <c r="AE172" s="386">
        <f t="shared" si="2"/>
        <v>1</v>
      </c>
      <c r="AF172" s="95" t="e">
        <f>VLOOKUP(J172,'Assessment Details'!$O$45:$P$48,2,FALSE)</f>
        <v>#N/A</v>
      </c>
      <c r="AG172" s="95" t="e">
        <f>VLOOKUP(Q172,'Assessment Details'!$O$45:$P$48,2,FALSE)</f>
        <v>#N/A</v>
      </c>
      <c r="AH172" s="95" t="e">
        <f>VLOOKUP(X172,'Assessment Details'!$O$45:$P$48,2,FALSE)</f>
        <v>#N/A</v>
      </c>
    </row>
    <row r="173" spans="1:34" x14ac:dyDescent="0.25">
      <c r="A173" s="836">
        <v>164</v>
      </c>
      <c r="B173" s="1262"/>
      <c r="C173" s="1262"/>
      <c r="D173" s="993" t="str">
        <f>VLOOKUP($A173,'Pre-Assessment Estimator'!$A$10:$Z$224,D$2,FALSE)</f>
        <v>Pre-requisite: managing negative impacts on ecology</v>
      </c>
      <c r="E173" s="581" t="str">
        <f>VLOOKUP($A173,'Pre-Assessment Estimator'!$A$10:$Z$224,E$2,FALSE)</f>
        <v>Yes/No</v>
      </c>
      <c r="F173" s="587" t="str">
        <f>IF(VLOOKUP($A173,'Pre-Assessment Estimator'!$A$10:$Z$224,F$2,FALSE)=0,"",VLOOKUP($A173,'Pre-Assessment Estimator'!$A$10:$Z$224,F$2,FALSE))</f>
        <v/>
      </c>
      <c r="G173" s="1239" t="str">
        <f>VLOOKUP($A173,'Pre-Assessment Estimator'!$A$10:$Z$224,G$2,FALSE)</f>
        <v>-</v>
      </c>
      <c r="H173" s="583" t="str">
        <f>VLOOKUP($A173,'Pre-Assessment Estimator'!$A$10:$Z$224,H$2,FALSE)</f>
        <v>N/A</v>
      </c>
      <c r="I173" s="584" t="str">
        <f>IF(VLOOKUP($A173,'Pre-Assessment Estimator'!$A$10:$Z$224,I$2,FALSE)=0,"",VLOOKUP($A173,'Pre-Assessment Estimator'!$A$10:$Z$224,I$2,FALSE))</f>
        <v/>
      </c>
      <c r="J173" s="584" t="str">
        <f>IF(VLOOKUP($A173,'Pre-Assessment Estimator'!$A$10:$Z$224,J$2,FALSE)=0,"",VLOOKUP($A173,'Pre-Assessment Estimator'!$A$10:$Z$224,J$2,FALSE))</f>
        <v/>
      </c>
      <c r="K173" s="585" t="str">
        <f>IF(VLOOKUP($A173,'Pre-Assessment Estimator'!$A$10:$Z$224,K$2,FALSE)=0,"",VLOOKUP($A173,'Pre-Assessment Estimator'!$A$10:$Z$224,K$2,FALSE))</f>
        <v/>
      </c>
      <c r="L173" s="586"/>
      <c r="M173" s="587" t="str">
        <f>IF(VLOOKUP($A173,'Pre-Assessment Estimator'!$A$10:$Z$224,M$2,FALSE)=0,"",VLOOKUP($A173,'Pre-Assessment Estimator'!$A$10:$Z$224,M$2,FALSE))</f>
        <v/>
      </c>
      <c r="N173" s="582" t="str">
        <f>VLOOKUP($A173,'Pre-Assessment Estimator'!$A$10:$Z$224,N$2,FALSE)</f>
        <v>-</v>
      </c>
      <c r="O173" s="581" t="str">
        <f>VLOOKUP($A173,'Pre-Assessment Estimator'!$A$10:$Z$224,O$2,FALSE)</f>
        <v>N/A</v>
      </c>
      <c r="P173" s="584" t="str">
        <f>IF(VLOOKUP($A173,'Pre-Assessment Estimator'!$A$10:$Z$224,P$2,FALSE)=0,"",VLOOKUP($A173,'Pre-Assessment Estimator'!$A$10:$Z$224,P$2,FALSE))</f>
        <v/>
      </c>
      <c r="Q173" s="584" t="str">
        <f>IF(VLOOKUP($A173,'Pre-Assessment Estimator'!$A$10:$Z$224,Q$2,FALSE)=0,"",VLOOKUP($A173,'Pre-Assessment Estimator'!$A$10:$Z$224,Q$2,FALSE))</f>
        <v/>
      </c>
      <c r="R173" s="585" t="str">
        <f>IF(VLOOKUP($A173,'Pre-Assessment Estimator'!$A$10:$Z$224,R$2,FALSE)=0,"",VLOOKUP($A173,'Pre-Assessment Estimator'!$A$10:$Z$224,R$2,FALSE))</f>
        <v/>
      </c>
      <c r="S173" s="588"/>
      <c r="T173" s="587" t="str">
        <f>IF(VLOOKUP($A173,'Pre-Assessment Estimator'!$A$10:$Z$224,T$2,FALSE)=0,"",VLOOKUP($A173,'Pre-Assessment Estimator'!$A$10:$Z$224,T$2,FALSE))</f>
        <v/>
      </c>
      <c r="U173" s="582" t="str">
        <f>VLOOKUP($A173,'Pre-Assessment Estimator'!$A$10:$Z$224,U$2,FALSE)</f>
        <v>-</v>
      </c>
      <c r="V173" s="581" t="str">
        <f>VLOOKUP($A173,'Pre-Assessment Estimator'!$A$10:$Z$224,V$2,FALSE)</f>
        <v>N/A</v>
      </c>
      <c r="W173" s="584" t="str">
        <f>IF(VLOOKUP($A173,'Pre-Assessment Estimator'!$A$10:$Z$224,W$2,FALSE)=0,"",VLOOKUP($A173,'Pre-Assessment Estimator'!$A$10:$Z$224,W$2,FALSE))</f>
        <v/>
      </c>
      <c r="X173" s="584" t="str">
        <f>IF(VLOOKUP($A173,'Pre-Assessment Estimator'!$A$10:$Z$224,X$2,FALSE)=0,"",VLOOKUP($A173,'Pre-Assessment Estimator'!$A$10:$Z$224,X$2,FALSE))</f>
        <v/>
      </c>
      <c r="Y173" s="370" t="str">
        <f>IF(VLOOKUP($A173,'Pre-Assessment Estimator'!$A$10:$Z$224,Y$2,FALSE)=0,"",VLOOKUP($A173,'Pre-Assessment Estimator'!$A$10:$Z$224,Y$2,FALSE))</f>
        <v/>
      </c>
      <c r="Z173" s="705"/>
      <c r="AA173" s="584"/>
      <c r="AE173" s="386">
        <f t="shared" si="2"/>
        <v>1</v>
      </c>
      <c r="AF173" s="95" t="e">
        <f>VLOOKUP(J173,'Assessment Details'!$O$45:$P$48,2,FALSE)</f>
        <v>#N/A</v>
      </c>
      <c r="AG173" s="95" t="e">
        <f>VLOOKUP(Q173,'Assessment Details'!$O$45:$P$48,2,FALSE)</f>
        <v>#N/A</v>
      </c>
      <c r="AH173" s="95" t="e">
        <f>VLOOKUP(X173,'Assessment Details'!$O$45:$P$48,2,FALSE)</f>
        <v>#N/A</v>
      </c>
    </row>
    <row r="174" spans="1:34" x14ac:dyDescent="0.25">
      <c r="A174" s="836">
        <v>165</v>
      </c>
      <c r="B174" s="1262"/>
      <c r="C174" s="1262"/>
      <c r="D174" s="340" t="str">
        <f>VLOOKUP($A174,'Pre-Assessment Estimator'!$A$10:$Z$224,D$2,FALSE)</f>
        <v>Ecological enhancement</v>
      </c>
      <c r="E174" s="581">
        <f>VLOOKUP($A174,'Pre-Assessment Estimator'!$A$10:$Z$224,E$2,FALSE)</f>
        <v>1</v>
      </c>
      <c r="F174" s="587" t="str">
        <f>IF(VLOOKUP($A174,'Pre-Assessment Estimator'!$A$10:$Z$224,F$2,FALSE)=0,"",VLOOKUP($A174,'Pre-Assessment Estimator'!$A$10:$Z$224,F$2,FALSE))</f>
        <v/>
      </c>
      <c r="G174" s="1239">
        <f>VLOOKUP($A174,'Pre-Assessment Estimator'!$A$10:$Z$224,G$2,FALSE)</f>
        <v>0</v>
      </c>
      <c r="H174" s="583" t="str">
        <f>VLOOKUP($A174,'Pre-Assessment Estimator'!$A$10:$Z$224,H$2,FALSE)</f>
        <v>Excellent</v>
      </c>
      <c r="I174" s="584" t="str">
        <f>IF(VLOOKUP($A174,'Pre-Assessment Estimator'!$A$10:$Z$224,I$2,FALSE)=0,"",VLOOKUP($A174,'Pre-Assessment Estimator'!$A$10:$Z$224,I$2,FALSE))</f>
        <v/>
      </c>
      <c r="J174" s="584" t="str">
        <f>IF(VLOOKUP($A174,'Pre-Assessment Estimator'!$A$10:$Z$224,J$2,FALSE)=0,"",VLOOKUP($A174,'Pre-Assessment Estimator'!$A$10:$Z$224,J$2,FALSE))</f>
        <v/>
      </c>
      <c r="K174" s="585" t="str">
        <f>IF(VLOOKUP($A174,'Pre-Assessment Estimator'!$A$10:$Z$224,K$2,FALSE)=0,"",VLOOKUP($A174,'Pre-Assessment Estimator'!$A$10:$Z$224,K$2,FALSE))</f>
        <v/>
      </c>
      <c r="L174" s="586"/>
      <c r="M174" s="587" t="str">
        <f>IF(VLOOKUP($A174,'Pre-Assessment Estimator'!$A$10:$Z$224,M$2,FALSE)=0,"",VLOOKUP($A174,'Pre-Assessment Estimator'!$A$10:$Z$224,M$2,FALSE))</f>
        <v/>
      </c>
      <c r="N174" s="582">
        <f>VLOOKUP($A174,'Pre-Assessment Estimator'!$A$10:$Z$224,N$2,FALSE)</f>
        <v>0</v>
      </c>
      <c r="O174" s="581" t="str">
        <f>VLOOKUP($A174,'Pre-Assessment Estimator'!$A$10:$Z$224,O$2,FALSE)</f>
        <v>Excellent</v>
      </c>
      <c r="P174" s="584" t="str">
        <f>IF(VLOOKUP($A174,'Pre-Assessment Estimator'!$A$10:$Z$224,P$2,FALSE)=0,"",VLOOKUP($A174,'Pre-Assessment Estimator'!$A$10:$Z$224,P$2,FALSE))</f>
        <v/>
      </c>
      <c r="Q174" s="584" t="str">
        <f>IF(VLOOKUP($A174,'Pre-Assessment Estimator'!$A$10:$Z$224,Q$2,FALSE)=0,"",VLOOKUP($A174,'Pre-Assessment Estimator'!$A$10:$Z$224,Q$2,FALSE))</f>
        <v/>
      </c>
      <c r="R174" s="585" t="str">
        <f>IF(VLOOKUP($A174,'Pre-Assessment Estimator'!$A$10:$Z$224,R$2,FALSE)=0,"",VLOOKUP($A174,'Pre-Assessment Estimator'!$A$10:$Z$224,R$2,FALSE))</f>
        <v/>
      </c>
      <c r="S174" s="588"/>
      <c r="T174" s="587" t="str">
        <f>IF(VLOOKUP($A174,'Pre-Assessment Estimator'!$A$10:$Z$224,T$2,FALSE)=0,"",VLOOKUP($A174,'Pre-Assessment Estimator'!$A$10:$Z$224,T$2,FALSE))</f>
        <v/>
      </c>
      <c r="U174" s="582">
        <f>VLOOKUP($A174,'Pre-Assessment Estimator'!$A$10:$Z$224,U$2,FALSE)</f>
        <v>0</v>
      </c>
      <c r="V174" s="581" t="str">
        <f>VLOOKUP($A174,'Pre-Assessment Estimator'!$A$10:$Z$224,V$2,FALSE)</f>
        <v>Excellent</v>
      </c>
      <c r="W174" s="584" t="str">
        <f>IF(VLOOKUP($A174,'Pre-Assessment Estimator'!$A$10:$Z$224,W$2,FALSE)=0,"",VLOOKUP($A174,'Pre-Assessment Estimator'!$A$10:$Z$224,W$2,FALSE))</f>
        <v/>
      </c>
      <c r="X174" s="584" t="str">
        <f>IF(VLOOKUP($A174,'Pre-Assessment Estimator'!$A$10:$Z$224,X$2,FALSE)=0,"",VLOOKUP($A174,'Pre-Assessment Estimator'!$A$10:$Z$224,X$2,FALSE))</f>
        <v/>
      </c>
      <c r="Y174" s="370" t="str">
        <f>IF(VLOOKUP($A174,'Pre-Assessment Estimator'!$A$10:$Z$224,Y$2,FALSE)=0,"",VLOOKUP($A174,'Pre-Assessment Estimator'!$A$10:$Z$224,Y$2,FALSE))</f>
        <v/>
      </c>
      <c r="Z174" s="705"/>
      <c r="AA174" s="584"/>
      <c r="AE174" s="386">
        <f t="shared" si="2"/>
        <v>1</v>
      </c>
      <c r="AF174" s="95" t="e">
        <f>VLOOKUP(J174,'Assessment Details'!$O$45:$P$48,2,FALSE)</f>
        <v>#N/A</v>
      </c>
      <c r="AG174" s="95" t="e">
        <f>VLOOKUP(Q174,'Assessment Details'!$O$45:$P$48,2,FALSE)</f>
        <v>#N/A</v>
      </c>
      <c r="AH174" s="95" t="e">
        <f>VLOOKUP(X174,'Assessment Details'!$O$45:$P$48,2,FALSE)</f>
        <v>#N/A</v>
      </c>
    </row>
    <row r="175" spans="1:34" x14ac:dyDescent="0.25">
      <c r="A175" s="836">
        <v>166</v>
      </c>
      <c r="B175" s="1262" t="s">
        <v>72</v>
      </c>
      <c r="C175" s="1262"/>
      <c r="D175" s="340" t="str">
        <f>VLOOKUP($A175,'Pre-Assessment Estimator'!$A$10:$Z$224,D$2,FALSE)</f>
        <v>Calculation of change in biodiversity</v>
      </c>
      <c r="E175" s="581">
        <f>VLOOKUP($A175,'Pre-Assessment Estimator'!$A$10:$Z$224,E$2,FALSE)</f>
        <v>3</v>
      </c>
      <c r="F175" s="587" t="str">
        <f>IF(VLOOKUP($A175,'Pre-Assessment Estimator'!$A$10:$Z$224,F$2,FALSE)=0,"",VLOOKUP($A175,'Pre-Assessment Estimator'!$A$10:$Z$224,F$2,FALSE))</f>
        <v/>
      </c>
      <c r="G175" s="1239">
        <f>VLOOKUP($A175,'Pre-Assessment Estimator'!$A$10:$Z$224,G$2,FALSE)</f>
        <v>0</v>
      </c>
      <c r="H175" s="583" t="str">
        <f>VLOOKUP($A175,'Pre-Assessment Estimator'!$A$10:$Z$224,H$2,FALSE)</f>
        <v>N/A</v>
      </c>
      <c r="I175" s="584" t="str">
        <f>IF(VLOOKUP($A175,'Pre-Assessment Estimator'!$A$10:$Z$224,I$2,FALSE)=0,"",VLOOKUP($A175,'Pre-Assessment Estimator'!$A$10:$Z$224,I$2,FALSE))</f>
        <v/>
      </c>
      <c r="J175" s="584" t="str">
        <f>IF(VLOOKUP($A175,'Pre-Assessment Estimator'!$A$10:$Z$224,J$2,FALSE)=0,"",VLOOKUP($A175,'Pre-Assessment Estimator'!$A$10:$Z$224,J$2,FALSE))</f>
        <v/>
      </c>
      <c r="K175" s="585" t="str">
        <f>IF(VLOOKUP($A175,'Pre-Assessment Estimator'!$A$10:$Z$224,K$2,FALSE)=0,"",VLOOKUP($A175,'Pre-Assessment Estimator'!$A$10:$Z$224,K$2,FALSE))</f>
        <v/>
      </c>
      <c r="L175" s="586"/>
      <c r="M175" s="587" t="str">
        <f>IF(VLOOKUP($A175,'Pre-Assessment Estimator'!$A$10:$Z$224,M$2,FALSE)=0,"",VLOOKUP($A175,'Pre-Assessment Estimator'!$A$10:$Z$224,M$2,FALSE))</f>
        <v/>
      </c>
      <c r="N175" s="582">
        <f>VLOOKUP($A175,'Pre-Assessment Estimator'!$A$10:$Z$224,N$2,FALSE)</f>
        <v>0</v>
      </c>
      <c r="O175" s="581" t="str">
        <f>VLOOKUP($A175,'Pre-Assessment Estimator'!$A$10:$Z$224,O$2,FALSE)</f>
        <v>N/A</v>
      </c>
      <c r="P175" s="584" t="str">
        <f>IF(VLOOKUP($A175,'Pre-Assessment Estimator'!$A$10:$Z$224,P$2,FALSE)=0,"",VLOOKUP($A175,'Pre-Assessment Estimator'!$A$10:$Z$224,P$2,FALSE))</f>
        <v/>
      </c>
      <c r="Q175" s="584" t="str">
        <f>IF(VLOOKUP($A175,'Pre-Assessment Estimator'!$A$10:$Z$224,Q$2,FALSE)=0,"",VLOOKUP($A175,'Pre-Assessment Estimator'!$A$10:$Z$224,Q$2,FALSE))</f>
        <v/>
      </c>
      <c r="R175" s="585" t="str">
        <f>IF(VLOOKUP($A175,'Pre-Assessment Estimator'!$A$10:$Z$224,R$2,FALSE)=0,"",VLOOKUP($A175,'Pre-Assessment Estimator'!$A$10:$Z$224,R$2,FALSE))</f>
        <v/>
      </c>
      <c r="S175" s="588"/>
      <c r="T175" s="587" t="str">
        <f>IF(VLOOKUP($A175,'Pre-Assessment Estimator'!$A$10:$Z$224,T$2,FALSE)=0,"",VLOOKUP($A175,'Pre-Assessment Estimator'!$A$10:$Z$224,T$2,FALSE))</f>
        <v/>
      </c>
      <c r="U175" s="582">
        <f>VLOOKUP($A175,'Pre-Assessment Estimator'!$A$10:$Z$224,U$2,FALSE)</f>
        <v>0</v>
      </c>
      <c r="V175" s="581" t="str">
        <f>VLOOKUP($A175,'Pre-Assessment Estimator'!$A$10:$Z$224,V$2,FALSE)</f>
        <v>N/A</v>
      </c>
      <c r="W175" s="584" t="str">
        <f>IF(VLOOKUP($A175,'Pre-Assessment Estimator'!$A$10:$Z$224,W$2,FALSE)=0,"",VLOOKUP($A175,'Pre-Assessment Estimator'!$A$10:$Z$224,W$2,FALSE))</f>
        <v/>
      </c>
      <c r="X175" s="584" t="str">
        <f>IF(VLOOKUP($A175,'Pre-Assessment Estimator'!$A$10:$Z$224,X$2,FALSE)=0,"",VLOOKUP($A175,'Pre-Assessment Estimator'!$A$10:$Z$224,X$2,FALSE))</f>
        <v/>
      </c>
      <c r="Y175" s="370" t="str">
        <f>IF(VLOOKUP($A175,'Pre-Assessment Estimator'!$A$10:$Z$224,Y$2,FALSE)=0,"",VLOOKUP($A175,'Pre-Assessment Estimator'!$A$10:$Z$224,Y$2,FALSE))</f>
        <v/>
      </c>
      <c r="Z175" s="705"/>
      <c r="AA175" s="584" t="str">
        <f>IF(VLOOKUP($A175,'Pre-Assessment Estimator'!$A$10:$AB$224,AA$2,FALSE)=0,"",VLOOKUP($A175,'Pre-Assessment Estimator'!$A$10:$AB$224,AA$2,FALSE))</f>
        <v/>
      </c>
      <c r="AE175" s="386">
        <f t="shared" si="2"/>
        <v>1</v>
      </c>
      <c r="AF175" s="95" t="e">
        <f>VLOOKUP(J175,'Assessment Details'!$O$45:$P$48,2,FALSE)</f>
        <v>#N/A</v>
      </c>
      <c r="AG175" s="95" t="e">
        <f>VLOOKUP(Q175,'Assessment Details'!$O$45:$P$48,2,FALSE)</f>
        <v>#N/A</v>
      </c>
      <c r="AH175" s="95" t="e">
        <f>VLOOKUP(X175,'Assessment Details'!$O$45:$P$48,2,FALSE)</f>
        <v>#N/A</v>
      </c>
    </row>
    <row r="176" spans="1:34" x14ac:dyDescent="0.25">
      <c r="A176" s="836">
        <v>167</v>
      </c>
      <c r="B176" s="1262" t="s">
        <v>72</v>
      </c>
      <c r="C176" s="1262"/>
      <c r="D176" s="340" t="str">
        <f>VLOOKUP($A176,'Pre-Assessment Estimator'!$A$10:$Z$224,D$2,FALSE)</f>
        <v>LE 05 Long term ecology management and maintenance</v>
      </c>
      <c r="E176" s="581">
        <f>VLOOKUP($A176,'Pre-Assessment Estimator'!$A$10:$Z$224,E$2,FALSE)</f>
        <v>2</v>
      </c>
      <c r="F176" s="587" t="str">
        <f>IF(VLOOKUP($A176,'Pre-Assessment Estimator'!$A$10:$Z$224,F$2,FALSE)=0,"",VLOOKUP($A176,'Pre-Assessment Estimator'!$A$10:$Z$224,F$2,FALSE))</f>
        <v/>
      </c>
      <c r="G176" s="1239" t="str">
        <f>VLOOKUP($A176,'Pre-Assessment Estimator'!$A$10:$Z$224,G$2,FALSE)</f>
        <v>0 c. 0 %</v>
      </c>
      <c r="H176" s="583" t="str">
        <f>VLOOKUP($A176,'Pre-Assessment Estimator'!$A$10:$Z$224,H$2,FALSE)</f>
        <v>N/A</v>
      </c>
      <c r="I176" s="584" t="str">
        <f>IF(VLOOKUP($A176,'Pre-Assessment Estimator'!$A$10:$Z$224,I$2,FALSE)=0,"",VLOOKUP($A176,'Pre-Assessment Estimator'!$A$10:$Z$224,I$2,FALSE))</f>
        <v/>
      </c>
      <c r="J176" s="584" t="str">
        <f>IF(VLOOKUP($A176,'Pre-Assessment Estimator'!$A$10:$Z$224,J$2,FALSE)=0,"",VLOOKUP($A176,'Pre-Assessment Estimator'!$A$10:$Z$224,J$2,FALSE))</f>
        <v/>
      </c>
      <c r="K176" s="585" t="str">
        <f>IF(VLOOKUP($A176,'Pre-Assessment Estimator'!$A$10:$Z$224,K$2,FALSE)=0,"",VLOOKUP($A176,'Pre-Assessment Estimator'!$A$10:$Z$224,K$2,FALSE))</f>
        <v/>
      </c>
      <c r="L176" s="586"/>
      <c r="M176" s="587" t="str">
        <f>IF(VLOOKUP($A176,'Pre-Assessment Estimator'!$A$10:$Z$224,M$2,FALSE)=0,"",VLOOKUP($A176,'Pre-Assessment Estimator'!$A$10:$Z$224,M$2,FALSE))</f>
        <v/>
      </c>
      <c r="N176" s="582" t="str">
        <f>VLOOKUP($A176,'Pre-Assessment Estimator'!$A$10:$Z$224,N$2,FALSE)</f>
        <v>0 c. 0 %</v>
      </c>
      <c r="O176" s="581" t="str">
        <f>VLOOKUP($A176,'Pre-Assessment Estimator'!$A$10:$Z$224,O$2,FALSE)</f>
        <v>N/A</v>
      </c>
      <c r="P176" s="584" t="str">
        <f>IF(VLOOKUP($A176,'Pre-Assessment Estimator'!$A$10:$Z$224,P$2,FALSE)=0,"",VLOOKUP($A176,'Pre-Assessment Estimator'!$A$10:$Z$224,P$2,FALSE))</f>
        <v/>
      </c>
      <c r="Q176" s="584" t="str">
        <f>IF(VLOOKUP($A176,'Pre-Assessment Estimator'!$A$10:$Z$224,Q$2,FALSE)=0,"",VLOOKUP($A176,'Pre-Assessment Estimator'!$A$10:$Z$224,Q$2,FALSE))</f>
        <v/>
      </c>
      <c r="R176" s="585" t="str">
        <f>IF(VLOOKUP($A176,'Pre-Assessment Estimator'!$A$10:$Z$224,R$2,FALSE)=0,"",VLOOKUP($A176,'Pre-Assessment Estimator'!$A$10:$Z$224,R$2,FALSE))</f>
        <v/>
      </c>
      <c r="S176" s="588"/>
      <c r="T176" s="587" t="str">
        <f>IF(VLOOKUP($A176,'Pre-Assessment Estimator'!$A$10:$Z$224,T$2,FALSE)=0,"",VLOOKUP($A176,'Pre-Assessment Estimator'!$A$10:$Z$224,T$2,FALSE))</f>
        <v/>
      </c>
      <c r="U176" s="582" t="str">
        <f>VLOOKUP($A176,'Pre-Assessment Estimator'!$A$10:$Z$224,U$2,FALSE)</f>
        <v>0 c. 0 %</v>
      </c>
      <c r="V176" s="581" t="str">
        <f>VLOOKUP($A176,'Pre-Assessment Estimator'!$A$10:$Z$224,V$2,FALSE)</f>
        <v>N/A</v>
      </c>
      <c r="W176" s="584" t="str">
        <f>IF(VLOOKUP($A176,'Pre-Assessment Estimator'!$A$10:$Z$224,W$2,FALSE)=0,"",VLOOKUP($A176,'Pre-Assessment Estimator'!$A$10:$Z$224,W$2,FALSE))</f>
        <v/>
      </c>
      <c r="X176" s="584" t="str">
        <f>IF(VLOOKUP($A176,'Pre-Assessment Estimator'!$A$10:$Z$224,X$2,FALSE)=0,"",VLOOKUP($A176,'Pre-Assessment Estimator'!$A$10:$Z$224,X$2,FALSE))</f>
        <v/>
      </c>
      <c r="Y176" s="370" t="str">
        <f>IF(VLOOKUP($A176,'Pre-Assessment Estimator'!$A$10:$Z$224,Y$2,FALSE)=0,"",VLOOKUP($A176,'Pre-Assessment Estimator'!$A$10:$Z$224,Y$2,FALSE))</f>
        <v/>
      </c>
      <c r="Z176" s="705"/>
      <c r="AA176" s="584" t="str">
        <f>IF(VLOOKUP($A176,'Pre-Assessment Estimator'!$A$10:$AB$224,AA$2,FALSE)=0,"",VLOOKUP($A176,'Pre-Assessment Estimator'!$A$10:$AB$224,AA$2,FALSE))</f>
        <v/>
      </c>
      <c r="AE176" s="386">
        <f t="shared" si="2"/>
        <v>1</v>
      </c>
      <c r="AF176" s="95" t="e">
        <f>VLOOKUP(J176,'Assessment Details'!$O$45:$P$48,2,FALSE)</f>
        <v>#N/A</v>
      </c>
      <c r="AG176" s="95" t="e">
        <f>VLOOKUP(Q176,'Assessment Details'!$O$45:$P$48,2,FALSE)</f>
        <v>#N/A</v>
      </c>
      <c r="AH176" s="95" t="e">
        <f>VLOOKUP(X176,'Assessment Details'!$O$45:$P$48,2,FALSE)</f>
        <v>#N/A</v>
      </c>
    </row>
    <row r="177" spans="1:34" ht="30" x14ac:dyDescent="0.25">
      <c r="A177" s="836">
        <v>168</v>
      </c>
      <c r="B177" s="1262" t="s">
        <v>72</v>
      </c>
      <c r="C177" s="1262"/>
      <c r="D177" s="993" t="str">
        <f>VLOOKUP($A177,'Pre-Assessment Estimator'!$A$10:$Z$224,D$2,FALSE)</f>
        <v>Pre-requisite: statutory obligations, planning and site implementation</v>
      </c>
      <c r="E177" s="581" t="str">
        <f>VLOOKUP($A177,'Pre-Assessment Estimator'!$A$10:$Z$224,E$2,FALSE)</f>
        <v>Yes/No</v>
      </c>
      <c r="F177" s="587" t="str">
        <f>IF(VLOOKUP($A177,'Pre-Assessment Estimator'!$A$10:$Z$224,F$2,FALSE)=0,"",VLOOKUP($A177,'Pre-Assessment Estimator'!$A$10:$Z$224,F$2,FALSE))</f>
        <v/>
      </c>
      <c r="G177" s="1239" t="str">
        <f>VLOOKUP($A177,'Pre-Assessment Estimator'!$A$10:$Z$224,G$2,FALSE)</f>
        <v>-</v>
      </c>
      <c r="H177" s="583" t="str">
        <f>VLOOKUP($A177,'Pre-Assessment Estimator'!$A$10:$Z$224,H$2,FALSE)</f>
        <v>N/A</v>
      </c>
      <c r="I177" s="584" t="str">
        <f>IF(VLOOKUP($A177,'Pre-Assessment Estimator'!$A$10:$Z$224,I$2,FALSE)=0,"",VLOOKUP($A177,'Pre-Assessment Estimator'!$A$10:$Z$224,I$2,FALSE))</f>
        <v/>
      </c>
      <c r="J177" s="584" t="str">
        <f>IF(VLOOKUP($A177,'Pre-Assessment Estimator'!$A$10:$Z$224,J$2,FALSE)=0,"",VLOOKUP($A177,'Pre-Assessment Estimator'!$A$10:$Z$224,J$2,FALSE))</f>
        <v/>
      </c>
      <c r="K177" s="585" t="str">
        <f>IF(VLOOKUP($A177,'Pre-Assessment Estimator'!$A$10:$Z$224,K$2,FALSE)=0,"",VLOOKUP($A177,'Pre-Assessment Estimator'!$A$10:$Z$224,K$2,FALSE))</f>
        <v/>
      </c>
      <c r="L177" s="586"/>
      <c r="M177" s="587" t="str">
        <f>IF(VLOOKUP($A177,'Pre-Assessment Estimator'!$A$10:$Z$224,M$2,FALSE)=0,"",VLOOKUP($A177,'Pre-Assessment Estimator'!$A$10:$Z$224,M$2,FALSE))</f>
        <v/>
      </c>
      <c r="N177" s="582" t="str">
        <f>VLOOKUP($A177,'Pre-Assessment Estimator'!$A$10:$Z$224,N$2,FALSE)</f>
        <v>-</v>
      </c>
      <c r="O177" s="581" t="str">
        <f>VLOOKUP($A177,'Pre-Assessment Estimator'!$A$10:$Z$224,O$2,FALSE)</f>
        <v>N/A</v>
      </c>
      <c r="P177" s="584" t="str">
        <f>IF(VLOOKUP($A177,'Pre-Assessment Estimator'!$A$10:$Z$224,P$2,FALSE)=0,"",VLOOKUP($A177,'Pre-Assessment Estimator'!$A$10:$Z$224,P$2,FALSE))</f>
        <v/>
      </c>
      <c r="Q177" s="584" t="str">
        <f>IF(VLOOKUP($A177,'Pre-Assessment Estimator'!$A$10:$Z$224,Q$2,FALSE)=0,"",VLOOKUP($A177,'Pre-Assessment Estimator'!$A$10:$Z$224,Q$2,FALSE))</f>
        <v/>
      </c>
      <c r="R177" s="585" t="str">
        <f>IF(VLOOKUP($A177,'Pre-Assessment Estimator'!$A$10:$Z$224,R$2,FALSE)=0,"",VLOOKUP($A177,'Pre-Assessment Estimator'!$A$10:$Z$224,R$2,FALSE))</f>
        <v/>
      </c>
      <c r="S177" s="588"/>
      <c r="T177" s="587" t="str">
        <f>IF(VLOOKUP($A177,'Pre-Assessment Estimator'!$A$10:$Z$224,T$2,FALSE)=0,"",VLOOKUP($A177,'Pre-Assessment Estimator'!$A$10:$Z$224,T$2,FALSE))</f>
        <v/>
      </c>
      <c r="U177" s="582" t="str">
        <f>VLOOKUP($A177,'Pre-Assessment Estimator'!$A$10:$Z$224,U$2,FALSE)</f>
        <v>-</v>
      </c>
      <c r="V177" s="581" t="str">
        <f>VLOOKUP($A177,'Pre-Assessment Estimator'!$A$10:$Z$224,V$2,FALSE)</f>
        <v>N/A</v>
      </c>
      <c r="W177" s="584" t="str">
        <f>IF(VLOOKUP($A177,'Pre-Assessment Estimator'!$A$10:$Z$224,W$2,FALSE)=0,"",VLOOKUP($A177,'Pre-Assessment Estimator'!$A$10:$Z$224,W$2,FALSE))</f>
        <v/>
      </c>
      <c r="X177" s="584" t="str">
        <f>IF(VLOOKUP($A177,'Pre-Assessment Estimator'!$A$10:$Z$224,X$2,FALSE)=0,"",VLOOKUP($A177,'Pre-Assessment Estimator'!$A$10:$Z$224,X$2,FALSE))</f>
        <v/>
      </c>
      <c r="Y177" s="370" t="str">
        <f>IF(VLOOKUP($A177,'Pre-Assessment Estimator'!$A$10:$Z$224,Y$2,FALSE)=0,"",VLOOKUP($A177,'Pre-Assessment Estimator'!$A$10:$Z$224,Y$2,FALSE))</f>
        <v/>
      </c>
      <c r="Z177" s="705"/>
      <c r="AA177" s="584" t="str">
        <f>IF(VLOOKUP($A177,'Pre-Assessment Estimator'!$A$10:$AB$224,AA$2,FALSE)=0,"",VLOOKUP($A177,'Pre-Assessment Estimator'!$A$10:$AB$224,AA$2,FALSE))</f>
        <v/>
      </c>
      <c r="AE177" s="386">
        <f t="shared" si="2"/>
        <v>1</v>
      </c>
      <c r="AF177" s="95" t="e">
        <f>VLOOKUP(J177,'Assessment Details'!$O$45:$P$48,2,FALSE)</f>
        <v>#N/A</v>
      </c>
      <c r="AG177" s="95" t="e">
        <f>VLOOKUP(Q177,'Assessment Details'!$O$45:$P$48,2,FALSE)</f>
        <v>#N/A</v>
      </c>
      <c r="AH177" s="95" t="e">
        <f>VLOOKUP(X177,'Assessment Details'!$O$45:$P$48,2,FALSE)</f>
        <v>#N/A</v>
      </c>
    </row>
    <row r="178" spans="1:34" x14ac:dyDescent="0.25">
      <c r="A178" s="836">
        <v>169</v>
      </c>
      <c r="B178" s="1262"/>
      <c r="C178" s="1262"/>
      <c r="D178" s="340" t="str">
        <f>VLOOKUP($A178,'Pre-Assessment Estimator'!$A$10:$Z$224,D$2,FALSE)</f>
        <v>Management and maintenance throughout the project</v>
      </c>
      <c r="E178" s="581">
        <f>VLOOKUP($A178,'Pre-Assessment Estimator'!$A$10:$Z$224,E$2,FALSE)</f>
        <v>1</v>
      </c>
      <c r="F178" s="587" t="str">
        <f>IF(VLOOKUP($A178,'Pre-Assessment Estimator'!$A$10:$Z$224,F$2,FALSE)=0,"",VLOOKUP($A178,'Pre-Assessment Estimator'!$A$10:$Z$224,F$2,FALSE))</f>
        <v/>
      </c>
      <c r="G178" s="1239">
        <f>VLOOKUP($A178,'Pre-Assessment Estimator'!$A$10:$Z$224,G$2,FALSE)</f>
        <v>0</v>
      </c>
      <c r="H178" s="583" t="str">
        <f>VLOOKUP($A178,'Pre-Assessment Estimator'!$A$10:$Z$224,H$2,FALSE)</f>
        <v>N/A</v>
      </c>
      <c r="I178" s="584" t="str">
        <f>IF(VLOOKUP($A178,'Pre-Assessment Estimator'!$A$10:$Z$224,I$2,FALSE)=0,"",VLOOKUP($A178,'Pre-Assessment Estimator'!$A$10:$Z$224,I$2,FALSE))</f>
        <v/>
      </c>
      <c r="J178" s="584" t="str">
        <f>IF(VLOOKUP($A178,'Pre-Assessment Estimator'!$A$10:$Z$224,J$2,FALSE)=0,"",VLOOKUP($A178,'Pre-Assessment Estimator'!$A$10:$Z$224,J$2,FALSE))</f>
        <v/>
      </c>
      <c r="K178" s="585" t="str">
        <f>IF(VLOOKUP($A178,'Pre-Assessment Estimator'!$A$10:$Z$224,K$2,FALSE)=0,"",VLOOKUP($A178,'Pre-Assessment Estimator'!$A$10:$Z$224,K$2,FALSE))</f>
        <v/>
      </c>
      <c r="L178" s="586"/>
      <c r="M178" s="587" t="str">
        <f>IF(VLOOKUP($A178,'Pre-Assessment Estimator'!$A$10:$Z$224,M$2,FALSE)=0,"",VLOOKUP($A178,'Pre-Assessment Estimator'!$A$10:$Z$224,M$2,FALSE))</f>
        <v/>
      </c>
      <c r="N178" s="582">
        <f>VLOOKUP($A178,'Pre-Assessment Estimator'!$A$10:$Z$224,N$2,FALSE)</f>
        <v>0</v>
      </c>
      <c r="O178" s="581" t="str">
        <f>VLOOKUP($A178,'Pre-Assessment Estimator'!$A$10:$Z$224,O$2,FALSE)</f>
        <v>N/A</v>
      </c>
      <c r="P178" s="584" t="str">
        <f>IF(VLOOKUP($A178,'Pre-Assessment Estimator'!$A$10:$Z$224,P$2,FALSE)=0,"",VLOOKUP($A178,'Pre-Assessment Estimator'!$A$10:$Z$224,P$2,FALSE))</f>
        <v/>
      </c>
      <c r="Q178" s="584" t="str">
        <f>IF(VLOOKUP($A178,'Pre-Assessment Estimator'!$A$10:$Z$224,Q$2,FALSE)=0,"",VLOOKUP($A178,'Pre-Assessment Estimator'!$A$10:$Z$224,Q$2,FALSE))</f>
        <v/>
      </c>
      <c r="R178" s="585" t="str">
        <f>IF(VLOOKUP($A178,'Pre-Assessment Estimator'!$A$10:$Z$224,R$2,FALSE)=0,"",VLOOKUP($A178,'Pre-Assessment Estimator'!$A$10:$Z$224,R$2,FALSE))</f>
        <v/>
      </c>
      <c r="S178" s="588"/>
      <c r="T178" s="587" t="str">
        <f>IF(VLOOKUP($A178,'Pre-Assessment Estimator'!$A$10:$Z$224,T$2,FALSE)=0,"",VLOOKUP($A178,'Pre-Assessment Estimator'!$A$10:$Z$224,T$2,FALSE))</f>
        <v/>
      </c>
      <c r="U178" s="582">
        <f>VLOOKUP($A178,'Pre-Assessment Estimator'!$A$10:$Z$224,U$2,FALSE)</f>
        <v>0</v>
      </c>
      <c r="V178" s="581" t="str">
        <f>VLOOKUP($A178,'Pre-Assessment Estimator'!$A$10:$Z$224,V$2,FALSE)</f>
        <v>N/A</v>
      </c>
      <c r="W178" s="584" t="str">
        <f>IF(VLOOKUP($A178,'Pre-Assessment Estimator'!$A$10:$Z$224,W$2,FALSE)=0,"",VLOOKUP($A178,'Pre-Assessment Estimator'!$A$10:$Z$224,W$2,FALSE))</f>
        <v/>
      </c>
      <c r="X178" s="584" t="str">
        <f>IF(VLOOKUP($A178,'Pre-Assessment Estimator'!$A$10:$Z$224,X$2,FALSE)=0,"",VLOOKUP($A178,'Pre-Assessment Estimator'!$A$10:$Z$224,X$2,FALSE))</f>
        <v/>
      </c>
      <c r="Y178" s="370" t="str">
        <f>IF(VLOOKUP($A178,'Pre-Assessment Estimator'!$A$10:$Z$224,Y$2,FALSE)=0,"",VLOOKUP($A178,'Pre-Assessment Estimator'!$A$10:$Z$224,Y$2,FALSE))</f>
        <v/>
      </c>
      <c r="Z178" s="705"/>
      <c r="AA178" s="584"/>
      <c r="AE178" s="386">
        <f t="shared" si="2"/>
        <v>1</v>
      </c>
      <c r="AF178" s="95" t="e">
        <f>VLOOKUP(J178,'Assessment Details'!$O$45:$P$48,2,FALSE)</f>
        <v>#N/A</v>
      </c>
      <c r="AG178" s="95" t="e">
        <f>VLOOKUP(Q178,'Assessment Details'!$O$45:$P$48,2,FALSE)</f>
        <v>#N/A</v>
      </c>
      <c r="AH178" s="95" t="e">
        <f>VLOOKUP(X178,'Assessment Details'!$O$45:$P$48,2,FALSE)</f>
        <v>#N/A</v>
      </c>
    </row>
    <row r="179" spans="1:34" x14ac:dyDescent="0.25">
      <c r="A179" s="836">
        <v>170</v>
      </c>
      <c r="B179" s="1262"/>
      <c r="C179" s="1262"/>
      <c r="D179" s="993" t="str">
        <f>VLOOKUP($A179,'Pre-Assessment Estimator'!$A$10:$Z$224,D$2,FALSE)</f>
        <v>Landscape and ecology management plan</v>
      </c>
      <c r="E179" s="581">
        <f>VLOOKUP($A179,'Pre-Assessment Estimator'!$A$10:$Z$224,E$2,FALSE)</f>
        <v>1</v>
      </c>
      <c r="F179" s="587" t="str">
        <f>IF(VLOOKUP($A179,'Pre-Assessment Estimator'!$A$10:$Z$224,F$2,FALSE)=0,"",VLOOKUP($A179,'Pre-Assessment Estimator'!$A$10:$Z$224,F$2,FALSE))</f>
        <v/>
      </c>
      <c r="G179" s="1239">
        <f>VLOOKUP($A179,'Pre-Assessment Estimator'!$A$10:$Z$224,G$2,FALSE)</f>
        <v>0</v>
      </c>
      <c r="H179" s="583" t="str">
        <f>VLOOKUP($A179,'Pre-Assessment Estimator'!$A$10:$Z$224,H$2,FALSE)</f>
        <v>N/A</v>
      </c>
      <c r="I179" s="584" t="str">
        <f>IF(VLOOKUP($A179,'Pre-Assessment Estimator'!$A$10:$Z$224,I$2,FALSE)=0,"",VLOOKUP($A179,'Pre-Assessment Estimator'!$A$10:$Z$224,I$2,FALSE))</f>
        <v/>
      </c>
      <c r="J179" s="584" t="str">
        <f>IF(VLOOKUP($A179,'Pre-Assessment Estimator'!$A$10:$Z$224,J$2,FALSE)=0,"",VLOOKUP($A179,'Pre-Assessment Estimator'!$A$10:$Z$224,J$2,FALSE))</f>
        <v/>
      </c>
      <c r="K179" s="585" t="str">
        <f>IF(VLOOKUP($A179,'Pre-Assessment Estimator'!$A$10:$Z$224,K$2,FALSE)=0,"",VLOOKUP($A179,'Pre-Assessment Estimator'!$A$10:$Z$224,K$2,FALSE))</f>
        <v/>
      </c>
      <c r="L179" s="586"/>
      <c r="M179" s="587" t="str">
        <f>IF(VLOOKUP($A179,'Pre-Assessment Estimator'!$A$10:$Z$224,M$2,FALSE)=0,"",VLOOKUP($A179,'Pre-Assessment Estimator'!$A$10:$Z$224,M$2,FALSE))</f>
        <v/>
      </c>
      <c r="N179" s="582">
        <f>VLOOKUP($A179,'Pre-Assessment Estimator'!$A$10:$Z$224,N$2,FALSE)</f>
        <v>0</v>
      </c>
      <c r="O179" s="581" t="str">
        <f>VLOOKUP($A179,'Pre-Assessment Estimator'!$A$10:$Z$224,O$2,FALSE)</f>
        <v>N/A</v>
      </c>
      <c r="P179" s="584" t="str">
        <f>IF(VLOOKUP($A179,'Pre-Assessment Estimator'!$A$10:$Z$224,P$2,FALSE)=0,"",VLOOKUP($A179,'Pre-Assessment Estimator'!$A$10:$Z$224,P$2,FALSE))</f>
        <v/>
      </c>
      <c r="Q179" s="584" t="str">
        <f>IF(VLOOKUP($A179,'Pre-Assessment Estimator'!$A$10:$Z$224,Q$2,FALSE)=0,"",VLOOKUP($A179,'Pre-Assessment Estimator'!$A$10:$Z$224,Q$2,FALSE))</f>
        <v/>
      </c>
      <c r="R179" s="585" t="str">
        <f>IF(VLOOKUP($A179,'Pre-Assessment Estimator'!$A$10:$Z$224,R$2,FALSE)=0,"",VLOOKUP($A179,'Pre-Assessment Estimator'!$A$10:$Z$224,R$2,FALSE))</f>
        <v/>
      </c>
      <c r="S179" s="588"/>
      <c r="T179" s="587" t="str">
        <f>IF(VLOOKUP($A179,'Pre-Assessment Estimator'!$A$10:$Z$224,T$2,FALSE)=0,"",VLOOKUP($A179,'Pre-Assessment Estimator'!$A$10:$Z$224,T$2,FALSE))</f>
        <v/>
      </c>
      <c r="U179" s="582">
        <f>VLOOKUP($A179,'Pre-Assessment Estimator'!$A$10:$Z$224,U$2,FALSE)</f>
        <v>0</v>
      </c>
      <c r="V179" s="581" t="str">
        <f>VLOOKUP($A179,'Pre-Assessment Estimator'!$A$10:$Z$224,V$2,FALSE)</f>
        <v>N/A</v>
      </c>
      <c r="W179" s="584" t="str">
        <f>IF(VLOOKUP($A179,'Pre-Assessment Estimator'!$A$10:$Z$224,W$2,FALSE)=0,"",VLOOKUP($A179,'Pre-Assessment Estimator'!$A$10:$Z$224,W$2,FALSE))</f>
        <v/>
      </c>
      <c r="X179" s="584" t="str">
        <f>IF(VLOOKUP($A179,'Pre-Assessment Estimator'!$A$10:$Z$224,X$2,FALSE)=0,"",VLOOKUP($A179,'Pre-Assessment Estimator'!$A$10:$Z$224,X$2,FALSE))</f>
        <v/>
      </c>
      <c r="Y179" s="370" t="str">
        <f>IF(VLOOKUP($A179,'Pre-Assessment Estimator'!$A$10:$Z$224,Y$2,FALSE)=0,"",VLOOKUP($A179,'Pre-Assessment Estimator'!$A$10:$Z$224,Y$2,FALSE))</f>
        <v/>
      </c>
      <c r="Z179" s="705"/>
      <c r="AA179" s="584"/>
      <c r="AE179" s="386">
        <f t="shared" si="2"/>
        <v>1</v>
      </c>
      <c r="AF179" s="95" t="e">
        <f>VLOOKUP(J179,'Assessment Details'!$O$45:$P$48,2,FALSE)</f>
        <v>#N/A</v>
      </c>
      <c r="AG179" s="95" t="e">
        <f>VLOOKUP(Q179,'Assessment Details'!$O$45:$P$48,2,FALSE)</f>
        <v>#N/A</v>
      </c>
      <c r="AH179" s="95" t="e">
        <f>VLOOKUP(X179,'Assessment Details'!$O$45:$P$48,2,FALSE)</f>
        <v>#N/A</v>
      </c>
    </row>
    <row r="180" spans="1:34" x14ac:dyDescent="0.25">
      <c r="A180" s="836">
        <v>171</v>
      </c>
      <c r="B180" s="1262"/>
      <c r="C180" s="1262"/>
      <c r="D180" s="340" t="str">
        <f>VLOOKUP($A180,'Pre-Assessment Estimator'!$A$10:$Z$224,D$2,FALSE)</f>
        <v>LE 06 Climate adaption</v>
      </c>
      <c r="E180" s="581">
        <f>VLOOKUP($A180,'Pre-Assessment Estimator'!$A$10:$Z$224,E$2,FALSE)</f>
        <v>1</v>
      </c>
      <c r="F180" s="587" t="str">
        <f>IF(VLOOKUP($A180,'Pre-Assessment Estimator'!$A$10:$Z$224,F$2,FALSE)=0,"",VLOOKUP($A180,'Pre-Assessment Estimator'!$A$10:$Z$224,F$2,FALSE))</f>
        <v/>
      </c>
      <c r="G180" s="1239" t="str">
        <f>VLOOKUP($A180,'Pre-Assessment Estimator'!$A$10:$Z$224,G$2,FALSE)</f>
        <v>0 c. 0 %</v>
      </c>
      <c r="H180" s="583" t="str">
        <f>VLOOKUP($A180,'Pre-Assessment Estimator'!$A$10:$Z$224,H$2,FALSE)</f>
        <v>N/A</v>
      </c>
      <c r="I180" s="584" t="str">
        <f>IF(VLOOKUP($A180,'Pre-Assessment Estimator'!$A$10:$Z$224,I$2,FALSE)=0,"",VLOOKUP($A180,'Pre-Assessment Estimator'!$A$10:$Z$224,I$2,FALSE))</f>
        <v/>
      </c>
      <c r="J180" s="584" t="str">
        <f>IF(VLOOKUP($A180,'Pre-Assessment Estimator'!$A$10:$Z$224,J$2,FALSE)=0,"",VLOOKUP($A180,'Pre-Assessment Estimator'!$A$10:$Z$224,J$2,FALSE))</f>
        <v/>
      </c>
      <c r="K180" s="585" t="str">
        <f>IF(VLOOKUP($A180,'Pre-Assessment Estimator'!$A$10:$Z$224,K$2,FALSE)=0,"",VLOOKUP($A180,'Pre-Assessment Estimator'!$A$10:$Z$224,K$2,FALSE))</f>
        <v/>
      </c>
      <c r="L180" s="586"/>
      <c r="M180" s="587" t="str">
        <f>IF(VLOOKUP($A180,'Pre-Assessment Estimator'!$A$10:$Z$224,M$2,FALSE)=0,"",VLOOKUP($A180,'Pre-Assessment Estimator'!$A$10:$Z$224,M$2,FALSE))</f>
        <v/>
      </c>
      <c r="N180" s="582" t="str">
        <f>VLOOKUP($A180,'Pre-Assessment Estimator'!$A$10:$Z$224,N$2,FALSE)</f>
        <v>0 c. 0 %</v>
      </c>
      <c r="O180" s="581" t="str">
        <f>VLOOKUP($A180,'Pre-Assessment Estimator'!$A$10:$Z$224,O$2,FALSE)</f>
        <v>N/A</v>
      </c>
      <c r="P180" s="584" t="str">
        <f>IF(VLOOKUP($A180,'Pre-Assessment Estimator'!$A$10:$Z$224,P$2,FALSE)=0,"",VLOOKUP($A180,'Pre-Assessment Estimator'!$A$10:$Z$224,P$2,FALSE))</f>
        <v/>
      </c>
      <c r="Q180" s="584" t="str">
        <f>IF(VLOOKUP($A180,'Pre-Assessment Estimator'!$A$10:$Z$224,Q$2,FALSE)=0,"",VLOOKUP($A180,'Pre-Assessment Estimator'!$A$10:$Z$224,Q$2,FALSE))</f>
        <v/>
      </c>
      <c r="R180" s="585" t="str">
        <f>IF(VLOOKUP($A180,'Pre-Assessment Estimator'!$A$10:$Z$224,R$2,FALSE)=0,"",VLOOKUP($A180,'Pre-Assessment Estimator'!$A$10:$Z$224,R$2,FALSE))</f>
        <v/>
      </c>
      <c r="S180" s="588"/>
      <c r="T180" s="587" t="str">
        <f>IF(VLOOKUP($A180,'Pre-Assessment Estimator'!$A$10:$Z$224,T$2,FALSE)=0,"",VLOOKUP($A180,'Pre-Assessment Estimator'!$A$10:$Z$224,T$2,FALSE))</f>
        <v/>
      </c>
      <c r="U180" s="582" t="str">
        <f>VLOOKUP($A180,'Pre-Assessment Estimator'!$A$10:$Z$224,U$2,FALSE)</f>
        <v>0 c. 0 %</v>
      </c>
      <c r="V180" s="581" t="str">
        <f>VLOOKUP($A180,'Pre-Assessment Estimator'!$A$10:$Z$224,V$2,FALSE)</f>
        <v>N/A</v>
      </c>
      <c r="W180" s="584" t="str">
        <f>IF(VLOOKUP($A180,'Pre-Assessment Estimator'!$A$10:$Z$224,W$2,FALSE)=0,"",VLOOKUP($A180,'Pre-Assessment Estimator'!$A$10:$Z$224,W$2,FALSE))</f>
        <v/>
      </c>
      <c r="X180" s="584" t="str">
        <f>IF(VLOOKUP($A180,'Pre-Assessment Estimator'!$A$10:$Z$224,X$2,FALSE)=0,"",VLOOKUP($A180,'Pre-Assessment Estimator'!$A$10:$Z$224,X$2,FALSE))</f>
        <v/>
      </c>
      <c r="Y180" s="370" t="str">
        <f>IF(VLOOKUP($A180,'Pre-Assessment Estimator'!$A$10:$Z$224,Y$2,FALSE)=0,"",VLOOKUP($A180,'Pre-Assessment Estimator'!$A$10:$Z$224,Y$2,FALSE))</f>
        <v/>
      </c>
      <c r="Z180" s="705"/>
      <c r="AA180" s="584"/>
      <c r="AE180" s="386">
        <f t="shared" si="2"/>
        <v>1</v>
      </c>
      <c r="AF180" s="95" t="e">
        <f>VLOOKUP(J180,'Assessment Details'!$O$45:$P$48,2,FALSE)</f>
        <v>#N/A</v>
      </c>
      <c r="AG180" s="95" t="e">
        <f>VLOOKUP(Q180,'Assessment Details'!$O$45:$P$48,2,FALSE)</f>
        <v>#N/A</v>
      </c>
      <c r="AH180" s="95" t="e">
        <f>VLOOKUP(X180,'Assessment Details'!$O$45:$P$48,2,FALSE)</f>
        <v>#N/A</v>
      </c>
    </row>
    <row r="181" spans="1:34" x14ac:dyDescent="0.25">
      <c r="A181" s="836">
        <v>172</v>
      </c>
      <c r="B181" s="1262"/>
      <c r="C181" s="1262"/>
      <c r="D181" s="340" t="str">
        <f>VLOOKUP($A181,'Pre-Assessment Estimator'!$A$10:$Z$224,D$2,FALSE)</f>
        <v>Risk assessment</v>
      </c>
      <c r="E181" s="581">
        <f>VLOOKUP($A181,'Pre-Assessment Estimator'!$A$10:$Z$224,E$2,FALSE)</f>
        <v>1</v>
      </c>
      <c r="F181" s="587" t="str">
        <f>IF(VLOOKUP($A181,'Pre-Assessment Estimator'!$A$10:$Z$224,F$2,FALSE)=0,"",VLOOKUP($A181,'Pre-Assessment Estimator'!$A$10:$Z$224,F$2,FALSE))</f>
        <v/>
      </c>
      <c r="G181" s="1239">
        <f>VLOOKUP($A181,'Pre-Assessment Estimator'!$A$10:$Z$224,G$2,FALSE)</f>
        <v>0</v>
      </c>
      <c r="H181" s="583" t="str">
        <f>VLOOKUP($A181,'Pre-Assessment Estimator'!$A$10:$Z$224,H$2,FALSE)</f>
        <v>Very Good</v>
      </c>
      <c r="I181" s="584" t="str">
        <f>IF(VLOOKUP($A181,'Pre-Assessment Estimator'!$A$10:$Z$224,I$2,FALSE)=0,"",VLOOKUP($A181,'Pre-Assessment Estimator'!$A$10:$Z$224,I$2,FALSE))</f>
        <v/>
      </c>
      <c r="J181" s="584" t="str">
        <f>IF(VLOOKUP($A181,'Pre-Assessment Estimator'!$A$10:$Z$224,J$2,FALSE)=0,"",VLOOKUP($A181,'Pre-Assessment Estimator'!$A$10:$Z$224,J$2,FALSE))</f>
        <v/>
      </c>
      <c r="K181" s="585" t="str">
        <f>IF(VLOOKUP($A181,'Pre-Assessment Estimator'!$A$10:$Z$224,K$2,FALSE)=0,"",VLOOKUP($A181,'Pre-Assessment Estimator'!$A$10:$Z$224,K$2,FALSE))</f>
        <v/>
      </c>
      <c r="L181" s="586"/>
      <c r="M181" s="587" t="str">
        <f>IF(VLOOKUP($A181,'Pre-Assessment Estimator'!$A$10:$Z$224,M$2,FALSE)=0,"",VLOOKUP($A181,'Pre-Assessment Estimator'!$A$10:$Z$224,M$2,FALSE))</f>
        <v/>
      </c>
      <c r="N181" s="582">
        <f>VLOOKUP($A181,'Pre-Assessment Estimator'!$A$10:$Z$224,N$2,FALSE)</f>
        <v>0</v>
      </c>
      <c r="O181" s="581" t="str">
        <f>VLOOKUP($A181,'Pre-Assessment Estimator'!$A$10:$Z$224,O$2,FALSE)</f>
        <v>Very Good</v>
      </c>
      <c r="P181" s="584" t="str">
        <f>IF(VLOOKUP($A181,'Pre-Assessment Estimator'!$A$10:$Z$224,P$2,FALSE)=0,"",VLOOKUP($A181,'Pre-Assessment Estimator'!$A$10:$Z$224,P$2,FALSE))</f>
        <v/>
      </c>
      <c r="Q181" s="584" t="str">
        <f>IF(VLOOKUP($A181,'Pre-Assessment Estimator'!$A$10:$Z$224,Q$2,FALSE)=0,"",VLOOKUP($A181,'Pre-Assessment Estimator'!$A$10:$Z$224,Q$2,FALSE))</f>
        <v/>
      </c>
      <c r="R181" s="585" t="str">
        <f>IF(VLOOKUP($A181,'Pre-Assessment Estimator'!$A$10:$Z$224,R$2,FALSE)=0,"",VLOOKUP($A181,'Pre-Assessment Estimator'!$A$10:$Z$224,R$2,FALSE))</f>
        <v/>
      </c>
      <c r="S181" s="588"/>
      <c r="T181" s="587" t="str">
        <f>IF(VLOOKUP($A181,'Pre-Assessment Estimator'!$A$10:$Z$224,T$2,FALSE)=0,"",VLOOKUP($A181,'Pre-Assessment Estimator'!$A$10:$Z$224,T$2,FALSE))</f>
        <v/>
      </c>
      <c r="U181" s="582">
        <f>VLOOKUP($A181,'Pre-Assessment Estimator'!$A$10:$Z$224,U$2,FALSE)</f>
        <v>0</v>
      </c>
      <c r="V181" s="581" t="str">
        <f>VLOOKUP($A181,'Pre-Assessment Estimator'!$A$10:$Z$224,V$2,FALSE)</f>
        <v>Very Good</v>
      </c>
      <c r="W181" s="584" t="str">
        <f>IF(VLOOKUP($A181,'Pre-Assessment Estimator'!$A$10:$Z$224,W$2,FALSE)=0,"",VLOOKUP($A181,'Pre-Assessment Estimator'!$A$10:$Z$224,W$2,FALSE))</f>
        <v/>
      </c>
      <c r="X181" s="584" t="str">
        <f>IF(VLOOKUP($A181,'Pre-Assessment Estimator'!$A$10:$Z$224,X$2,FALSE)=0,"",VLOOKUP($A181,'Pre-Assessment Estimator'!$A$10:$Z$224,X$2,FALSE))</f>
        <v/>
      </c>
      <c r="Y181" s="370" t="str">
        <f>IF(VLOOKUP($A181,'Pre-Assessment Estimator'!$A$10:$Z$224,Y$2,FALSE)=0,"",VLOOKUP($A181,'Pre-Assessment Estimator'!$A$10:$Z$224,Y$2,FALSE))</f>
        <v/>
      </c>
      <c r="Z181" s="705"/>
      <c r="AA181" s="584"/>
      <c r="AE181" s="386">
        <f t="shared" si="2"/>
        <v>1</v>
      </c>
      <c r="AF181" s="95" t="e">
        <f>VLOOKUP(J181,'Assessment Details'!$O$45:$P$48,2,FALSE)</f>
        <v>#N/A</v>
      </c>
      <c r="AG181" s="95" t="e">
        <f>VLOOKUP(Q181,'Assessment Details'!$O$45:$P$48,2,FALSE)</f>
        <v>#N/A</v>
      </c>
      <c r="AH181" s="95" t="e">
        <f>VLOOKUP(X181,'Assessment Details'!$O$45:$P$48,2,FALSE)</f>
        <v>#N/A</v>
      </c>
    </row>
    <row r="182" spans="1:34" x14ac:dyDescent="0.25">
      <c r="A182" s="836">
        <v>173</v>
      </c>
      <c r="B182" s="1262"/>
      <c r="C182" s="1262"/>
      <c r="D182" s="340" t="str">
        <f>VLOOKUP($A182,'Pre-Assessment Estimator'!$A$10:$Z$224,D$2,FALSE)</f>
        <v>LE 07 Flooding and storm surge</v>
      </c>
      <c r="E182" s="581">
        <f>VLOOKUP($A182,'Pre-Assessment Estimator'!$A$10:$Z$224,E$2,FALSE)</f>
        <v>2</v>
      </c>
      <c r="F182" s="587" t="str">
        <f>IF(VLOOKUP($A182,'Pre-Assessment Estimator'!$A$10:$Z$224,F$2,FALSE)=0,"",VLOOKUP($A182,'Pre-Assessment Estimator'!$A$10:$Z$224,F$2,FALSE))</f>
        <v/>
      </c>
      <c r="G182" s="1239" t="str">
        <f>VLOOKUP($A182,'Pre-Assessment Estimator'!$A$10:$Z$224,G$2,FALSE)</f>
        <v>0 c. 0 %</v>
      </c>
      <c r="H182" s="583" t="str">
        <f>VLOOKUP($A182,'Pre-Assessment Estimator'!$A$10:$Z$224,H$2,FALSE)</f>
        <v>N/A</v>
      </c>
      <c r="I182" s="584" t="str">
        <f>IF(VLOOKUP($A182,'Pre-Assessment Estimator'!$A$10:$Z$224,I$2,FALSE)=0,"",VLOOKUP($A182,'Pre-Assessment Estimator'!$A$10:$Z$224,I$2,FALSE))</f>
        <v/>
      </c>
      <c r="J182" s="584" t="str">
        <f>IF(VLOOKUP($A182,'Pre-Assessment Estimator'!$A$10:$Z$224,J$2,FALSE)=0,"",VLOOKUP($A182,'Pre-Assessment Estimator'!$A$10:$Z$224,J$2,FALSE))</f>
        <v/>
      </c>
      <c r="K182" s="585" t="str">
        <f>IF(VLOOKUP($A182,'Pre-Assessment Estimator'!$A$10:$Z$224,K$2,FALSE)=0,"",VLOOKUP($A182,'Pre-Assessment Estimator'!$A$10:$Z$224,K$2,FALSE))</f>
        <v/>
      </c>
      <c r="L182" s="586"/>
      <c r="M182" s="587" t="str">
        <f>IF(VLOOKUP($A182,'Pre-Assessment Estimator'!$A$10:$Z$224,M$2,FALSE)=0,"",VLOOKUP($A182,'Pre-Assessment Estimator'!$A$10:$Z$224,M$2,FALSE))</f>
        <v/>
      </c>
      <c r="N182" s="582" t="str">
        <f>VLOOKUP($A182,'Pre-Assessment Estimator'!$A$10:$Z$224,N$2,FALSE)</f>
        <v>0 c. 0 %</v>
      </c>
      <c r="O182" s="581" t="str">
        <f>VLOOKUP($A182,'Pre-Assessment Estimator'!$A$10:$Z$224,O$2,FALSE)</f>
        <v>N/A</v>
      </c>
      <c r="P182" s="584" t="str">
        <f>IF(VLOOKUP($A182,'Pre-Assessment Estimator'!$A$10:$Z$224,P$2,FALSE)=0,"",VLOOKUP($A182,'Pre-Assessment Estimator'!$A$10:$Z$224,P$2,FALSE))</f>
        <v/>
      </c>
      <c r="Q182" s="584" t="str">
        <f>IF(VLOOKUP($A182,'Pre-Assessment Estimator'!$A$10:$Z$224,Q$2,FALSE)=0,"",VLOOKUP($A182,'Pre-Assessment Estimator'!$A$10:$Z$224,Q$2,FALSE))</f>
        <v/>
      </c>
      <c r="R182" s="585" t="str">
        <f>IF(VLOOKUP($A182,'Pre-Assessment Estimator'!$A$10:$Z$224,R$2,FALSE)=0,"",VLOOKUP($A182,'Pre-Assessment Estimator'!$A$10:$Z$224,R$2,FALSE))</f>
        <v/>
      </c>
      <c r="S182" s="588"/>
      <c r="T182" s="587" t="str">
        <f>IF(VLOOKUP($A182,'Pre-Assessment Estimator'!$A$10:$Z$224,T$2,FALSE)=0,"",VLOOKUP($A182,'Pre-Assessment Estimator'!$A$10:$Z$224,T$2,FALSE))</f>
        <v/>
      </c>
      <c r="U182" s="582" t="str">
        <f>VLOOKUP($A182,'Pre-Assessment Estimator'!$A$10:$Z$224,U$2,FALSE)</f>
        <v>0 c. 0 %</v>
      </c>
      <c r="V182" s="581" t="str">
        <f>VLOOKUP($A182,'Pre-Assessment Estimator'!$A$10:$Z$224,V$2,FALSE)</f>
        <v>N/A</v>
      </c>
      <c r="W182" s="584" t="str">
        <f>IF(VLOOKUP($A182,'Pre-Assessment Estimator'!$A$10:$Z$224,W$2,FALSE)=0,"",VLOOKUP($A182,'Pre-Assessment Estimator'!$A$10:$Z$224,W$2,FALSE))</f>
        <v/>
      </c>
      <c r="X182" s="584" t="str">
        <f>IF(VLOOKUP($A182,'Pre-Assessment Estimator'!$A$10:$Z$224,X$2,FALSE)=0,"",VLOOKUP($A182,'Pre-Assessment Estimator'!$A$10:$Z$224,X$2,FALSE))</f>
        <v/>
      </c>
      <c r="Y182" s="370" t="str">
        <f>IF(VLOOKUP($A182,'Pre-Assessment Estimator'!$A$10:$Z$224,Y$2,FALSE)=0,"",VLOOKUP($A182,'Pre-Assessment Estimator'!$A$10:$Z$224,Y$2,FALSE))</f>
        <v/>
      </c>
      <c r="Z182" s="705"/>
      <c r="AA182" s="584"/>
      <c r="AE182" s="386">
        <f t="shared" si="2"/>
        <v>1</v>
      </c>
      <c r="AF182" s="95" t="e">
        <f>VLOOKUP(J182,'Assessment Details'!$O$45:$P$48,2,FALSE)</f>
        <v>#N/A</v>
      </c>
      <c r="AG182" s="95" t="e">
        <f>VLOOKUP(Q182,'Assessment Details'!$O$45:$P$48,2,FALSE)</f>
        <v>#N/A</v>
      </c>
      <c r="AH182" s="95" t="e">
        <f>VLOOKUP(X182,'Assessment Details'!$O$45:$P$48,2,FALSE)</f>
        <v>#N/A</v>
      </c>
    </row>
    <row r="183" spans="1:34" x14ac:dyDescent="0.25">
      <c r="A183" s="836">
        <v>174</v>
      </c>
      <c r="B183" s="1262"/>
      <c r="C183" s="1262"/>
      <c r="D183" s="340" t="str">
        <f>VLOOKUP($A183,'Pre-Assessment Estimator'!$A$10:$Z$224,D$2,FALSE)</f>
        <v>Pre-requisite: flood risk assessment</v>
      </c>
      <c r="E183" s="581" t="str">
        <f>VLOOKUP($A183,'Pre-Assessment Estimator'!$A$10:$Z$224,E$2,FALSE)</f>
        <v>Yes/No</v>
      </c>
      <c r="F183" s="587" t="str">
        <f>IF(VLOOKUP($A183,'Pre-Assessment Estimator'!$A$10:$Z$224,F$2,FALSE)=0,"",VLOOKUP($A183,'Pre-Assessment Estimator'!$A$10:$Z$224,F$2,FALSE))</f>
        <v/>
      </c>
      <c r="G183" s="1239" t="str">
        <f>VLOOKUP($A183,'Pre-Assessment Estimator'!$A$10:$Z$224,G$2,FALSE)</f>
        <v>-</v>
      </c>
      <c r="H183" s="583" t="str">
        <f>VLOOKUP($A183,'Pre-Assessment Estimator'!$A$10:$Z$224,H$2,FALSE)</f>
        <v>N/A</v>
      </c>
      <c r="I183" s="584" t="str">
        <f>IF(VLOOKUP($A183,'Pre-Assessment Estimator'!$A$10:$Z$224,I$2,FALSE)=0,"",VLOOKUP($A183,'Pre-Assessment Estimator'!$A$10:$Z$224,I$2,FALSE))</f>
        <v/>
      </c>
      <c r="J183" s="584" t="str">
        <f>IF(VLOOKUP($A183,'Pre-Assessment Estimator'!$A$10:$Z$224,J$2,FALSE)=0,"",VLOOKUP($A183,'Pre-Assessment Estimator'!$A$10:$Z$224,J$2,FALSE))</f>
        <v/>
      </c>
      <c r="K183" s="585" t="str">
        <f>IF(VLOOKUP($A183,'Pre-Assessment Estimator'!$A$10:$Z$224,K$2,FALSE)=0,"",VLOOKUP($A183,'Pre-Assessment Estimator'!$A$10:$Z$224,K$2,FALSE))</f>
        <v/>
      </c>
      <c r="L183" s="586"/>
      <c r="M183" s="587" t="str">
        <f>IF(VLOOKUP($A183,'Pre-Assessment Estimator'!$A$10:$Z$224,M$2,FALSE)=0,"",VLOOKUP($A183,'Pre-Assessment Estimator'!$A$10:$Z$224,M$2,FALSE))</f>
        <v/>
      </c>
      <c r="N183" s="582" t="str">
        <f>VLOOKUP($A183,'Pre-Assessment Estimator'!$A$10:$Z$224,N$2,FALSE)</f>
        <v>-</v>
      </c>
      <c r="O183" s="581" t="str">
        <f>VLOOKUP($A183,'Pre-Assessment Estimator'!$A$10:$Z$224,O$2,FALSE)</f>
        <v>N/A</v>
      </c>
      <c r="P183" s="584" t="str">
        <f>IF(VLOOKUP($A183,'Pre-Assessment Estimator'!$A$10:$Z$224,P$2,FALSE)=0,"",VLOOKUP($A183,'Pre-Assessment Estimator'!$A$10:$Z$224,P$2,FALSE))</f>
        <v/>
      </c>
      <c r="Q183" s="584" t="str">
        <f>IF(VLOOKUP($A183,'Pre-Assessment Estimator'!$A$10:$Z$224,Q$2,FALSE)=0,"",VLOOKUP($A183,'Pre-Assessment Estimator'!$A$10:$Z$224,Q$2,FALSE))</f>
        <v/>
      </c>
      <c r="R183" s="585" t="str">
        <f>IF(VLOOKUP($A183,'Pre-Assessment Estimator'!$A$10:$Z$224,R$2,FALSE)=0,"",VLOOKUP($A183,'Pre-Assessment Estimator'!$A$10:$Z$224,R$2,FALSE))</f>
        <v/>
      </c>
      <c r="S183" s="588"/>
      <c r="T183" s="587" t="str">
        <f>IF(VLOOKUP($A183,'Pre-Assessment Estimator'!$A$10:$Z$224,T$2,FALSE)=0,"",VLOOKUP($A183,'Pre-Assessment Estimator'!$A$10:$Z$224,T$2,FALSE))</f>
        <v/>
      </c>
      <c r="U183" s="582" t="str">
        <f>VLOOKUP($A183,'Pre-Assessment Estimator'!$A$10:$Z$224,U$2,FALSE)</f>
        <v>-</v>
      </c>
      <c r="V183" s="581" t="str">
        <f>VLOOKUP($A183,'Pre-Assessment Estimator'!$A$10:$Z$224,V$2,FALSE)</f>
        <v>N/A</v>
      </c>
      <c r="W183" s="584" t="str">
        <f>IF(VLOOKUP($A183,'Pre-Assessment Estimator'!$A$10:$Z$224,W$2,FALSE)=0,"",VLOOKUP($A183,'Pre-Assessment Estimator'!$A$10:$Z$224,W$2,FALSE))</f>
        <v/>
      </c>
      <c r="X183" s="584" t="str">
        <f>IF(VLOOKUP($A183,'Pre-Assessment Estimator'!$A$10:$Z$224,X$2,FALSE)=0,"",VLOOKUP($A183,'Pre-Assessment Estimator'!$A$10:$Z$224,X$2,FALSE))</f>
        <v/>
      </c>
      <c r="Y183" s="370" t="str">
        <f>IF(VLOOKUP($A183,'Pre-Assessment Estimator'!$A$10:$Z$224,Y$2,FALSE)=0,"",VLOOKUP($A183,'Pre-Assessment Estimator'!$A$10:$Z$224,Y$2,FALSE))</f>
        <v/>
      </c>
      <c r="Z183" s="705"/>
      <c r="AA183" s="584"/>
      <c r="AE183" s="386">
        <f t="shared" si="2"/>
        <v>1</v>
      </c>
      <c r="AF183" s="95" t="e">
        <f>VLOOKUP(J183,'Assessment Details'!$O$45:$P$48,2,FALSE)</f>
        <v>#N/A</v>
      </c>
      <c r="AG183" s="95" t="e">
        <f>VLOOKUP(Q183,'Assessment Details'!$O$45:$P$48,2,FALSE)</f>
        <v>#N/A</v>
      </c>
      <c r="AH183" s="95" t="e">
        <f>VLOOKUP(X183,'Assessment Details'!$O$45:$P$48,2,FALSE)</f>
        <v>#N/A</v>
      </c>
    </row>
    <row r="184" spans="1:34" x14ac:dyDescent="0.25">
      <c r="A184" s="836">
        <v>175</v>
      </c>
      <c r="B184" s="1262"/>
      <c r="C184" s="1262"/>
      <c r="D184" s="340" t="str">
        <f>VLOOKUP($A184,'Pre-Assessment Estimator'!$A$10:$Z$224,D$2,FALSE)</f>
        <v>Resilience against flood and storm surge</v>
      </c>
      <c r="E184" s="581">
        <f>VLOOKUP($A184,'Pre-Assessment Estimator'!$A$10:$Z$224,E$2,FALSE)</f>
        <v>2</v>
      </c>
      <c r="F184" s="587" t="str">
        <f>IF(VLOOKUP($A184,'Pre-Assessment Estimator'!$A$10:$Z$224,F$2,FALSE)=0,"",VLOOKUP($A184,'Pre-Assessment Estimator'!$A$10:$Z$224,F$2,FALSE))</f>
        <v/>
      </c>
      <c r="G184" s="1239">
        <f>VLOOKUP($A184,'Pre-Assessment Estimator'!$A$10:$Z$224,G$2,FALSE)</f>
        <v>0</v>
      </c>
      <c r="H184" s="583" t="str">
        <f>VLOOKUP($A184,'Pre-Assessment Estimator'!$A$10:$Z$224,H$2,FALSE)</f>
        <v>N/A</v>
      </c>
      <c r="I184" s="584" t="str">
        <f>IF(VLOOKUP($A184,'Pre-Assessment Estimator'!$A$10:$Z$224,I$2,FALSE)=0,"",VLOOKUP($A184,'Pre-Assessment Estimator'!$A$10:$Z$224,I$2,FALSE))</f>
        <v/>
      </c>
      <c r="J184" s="584" t="str">
        <f>IF(VLOOKUP($A184,'Pre-Assessment Estimator'!$A$10:$Z$224,J$2,FALSE)=0,"",VLOOKUP($A184,'Pre-Assessment Estimator'!$A$10:$Z$224,J$2,FALSE))</f>
        <v/>
      </c>
      <c r="K184" s="585" t="str">
        <f>IF(VLOOKUP($A184,'Pre-Assessment Estimator'!$A$10:$Z$224,K$2,FALSE)=0,"",VLOOKUP($A184,'Pre-Assessment Estimator'!$A$10:$Z$224,K$2,FALSE))</f>
        <v/>
      </c>
      <c r="L184" s="586"/>
      <c r="M184" s="587" t="str">
        <f>IF(VLOOKUP($A184,'Pre-Assessment Estimator'!$A$10:$Z$224,M$2,FALSE)=0,"",VLOOKUP($A184,'Pre-Assessment Estimator'!$A$10:$Z$224,M$2,FALSE))</f>
        <v/>
      </c>
      <c r="N184" s="582">
        <f>VLOOKUP($A184,'Pre-Assessment Estimator'!$A$10:$Z$224,N$2,FALSE)</f>
        <v>0</v>
      </c>
      <c r="O184" s="581" t="str">
        <f>VLOOKUP($A184,'Pre-Assessment Estimator'!$A$10:$Z$224,O$2,FALSE)</f>
        <v>N/A</v>
      </c>
      <c r="P184" s="584" t="str">
        <f>IF(VLOOKUP($A184,'Pre-Assessment Estimator'!$A$10:$Z$224,P$2,FALSE)=0,"",VLOOKUP($A184,'Pre-Assessment Estimator'!$A$10:$Z$224,P$2,FALSE))</f>
        <v/>
      </c>
      <c r="Q184" s="584" t="str">
        <f>IF(VLOOKUP($A184,'Pre-Assessment Estimator'!$A$10:$Z$224,Q$2,FALSE)=0,"",VLOOKUP($A184,'Pre-Assessment Estimator'!$A$10:$Z$224,Q$2,FALSE))</f>
        <v/>
      </c>
      <c r="R184" s="585" t="str">
        <f>IF(VLOOKUP($A184,'Pre-Assessment Estimator'!$A$10:$Z$224,R$2,FALSE)=0,"",VLOOKUP($A184,'Pre-Assessment Estimator'!$A$10:$Z$224,R$2,FALSE))</f>
        <v/>
      </c>
      <c r="S184" s="588"/>
      <c r="T184" s="587" t="str">
        <f>IF(VLOOKUP($A184,'Pre-Assessment Estimator'!$A$10:$Z$224,T$2,FALSE)=0,"",VLOOKUP($A184,'Pre-Assessment Estimator'!$A$10:$Z$224,T$2,FALSE))</f>
        <v/>
      </c>
      <c r="U184" s="582">
        <f>VLOOKUP($A184,'Pre-Assessment Estimator'!$A$10:$Z$224,U$2,FALSE)</f>
        <v>0</v>
      </c>
      <c r="V184" s="581" t="str">
        <f>VLOOKUP($A184,'Pre-Assessment Estimator'!$A$10:$Z$224,V$2,FALSE)</f>
        <v>N/A</v>
      </c>
      <c r="W184" s="584" t="str">
        <f>IF(VLOOKUP($A184,'Pre-Assessment Estimator'!$A$10:$Z$224,W$2,FALSE)=0,"",VLOOKUP($A184,'Pre-Assessment Estimator'!$A$10:$Z$224,W$2,FALSE))</f>
        <v/>
      </c>
      <c r="X184" s="584" t="str">
        <f>IF(VLOOKUP($A184,'Pre-Assessment Estimator'!$A$10:$Z$224,X$2,FALSE)=0,"",VLOOKUP($A184,'Pre-Assessment Estimator'!$A$10:$Z$224,X$2,FALSE))</f>
        <v/>
      </c>
      <c r="Y184" s="370" t="str">
        <f>IF(VLOOKUP($A184,'Pre-Assessment Estimator'!$A$10:$Z$224,Y$2,FALSE)=0,"",VLOOKUP($A184,'Pre-Assessment Estimator'!$A$10:$Z$224,Y$2,FALSE))</f>
        <v/>
      </c>
      <c r="Z184" s="705"/>
      <c r="AA184" s="584"/>
      <c r="AE184" s="386">
        <f t="shared" si="2"/>
        <v>1</v>
      </c>
      <c r="AF184" s="95" t="e">
        <f>VLOOKUP(J184,'Assessment Details'!$O$45:$P$48,2,FALSE)</f>
        <v>#N/A</v>
      </c>
      <c r="AG184" s="95" t="e">
        <f>VLOOKUP(Q184,'Assessment Details'!$O$45:$P$48,2,FALSE)</f>
        <v>#N/A</v>
      </c>
      <c r="AH184" s="95" t="e">
        <f>VLOOKUP(X184,'Assessment Details'!$O$45:$P$48,2,FALSE)</f>
        <v>#N/A</v>
      </c>
    </row>
    <row r="185" spans="1:34" x14ac:dyDescent="0.25">
      <c r="A185" s="836">
        <v>176</v>
      </c>
      <c r="B185" s="1262"/>
      <c r="C185" s="1262"/>
      <c r="D185" s="340" t="str">
        <f>VLOOKUP($A185,'Pre-Assessment Estimator'!$A$10:$Z$224,D$2,FALSE)</f>
        <v>LE 08 Local surface water handling</v>
      </c>
      <c r="E185" s="581">
        <f>VLOOKUP($A185,'Pre-Assessment Estimator'!$A$10:$Z$224,E$2,FALSE)</f>
        <v>3</v>
      </c>
      <c r="F185" s="587" t="str">
        <f>IF(VLOOKUP($A185,'Pre-Assessment Estimator'!$A$10:$Z$224,F$2,FALSE)=0,"",VLOOKUP($A185,'Pre-Assessment Estimator'!$A$10:$Z$224,F$2,FALSE))</f>
        <v/>
      </c>
      <c r="G185" s="1239" t="str">
        <f>VLOOKUP($A185,'Pre-Assessment Estimator'!$A$10:$Z$224,G$2,FALSE)</f>
        <v>0 c. 0 %</v>
      </c>
      <c r="H185" s="583" t="str">
        <f>VLOOKUP($A185,'Pre-Assessment Estimator'!$A$10:$Z$224,H$2,FALSE)</f>
        <v>N/A</v>
      </c>
      <c r="I185" s="584" t="str">
        <f>IF(VLOOKUP($A185,'Pre-Assessment Estimator'!$A$10:$Z$224,I$2,FALSE)=0,"",VLOOKUP($A185,'Pre-Assessment Estimator'!$A$10:$Z$224,I$2,FALSE))</f>
        <v/>
      </c>
      <c r="J185" s="584" t="str">
        <f>IF(VLOOKUP($A185,'Pre-Assessment Estimator'!$A$10:$Z$224,J$2,FALSE)=0,"",VLOOKUP($A185,'Pre-Assessment Estimator'!$A$10:$Z$224,J$2,FALSE))</f>
        <v/>
      </c>
      <c r="K185" s="585" t="str">
        <f>IF(VLOOKUP($A185,'Pre-Assessment Estimator'!$A$10:$Z$224,K$2,FALSE)=0,"",VLOOKUP($A185,'Pre-Assessment Estimator'!$A$10:$Z$224,K$2,FALSE))</f>
        <v/>
      </c>
      <c r="L185" s="586"/>
      <c r="M185" s="587" t="str">
        <f>IF(VLOOKUP($A185,'Pre-Assessment Estimator'!$A$10:$Z$224,M$2,FALSE)=0,"",VLOOKUP($A185,'Pre-Assessment Estimator'!$A$10:$Z$224,M$2,FALSE))</f>
        <v/>
      </c>
      <c r="N185" s="582" t="str">
        <f>VLOOKUP($A185,'Pre-Assessment Estimator'!$A$10:$Z$224,N$2,FALSE)</f>
        <v>0 c. 0 %</v>
      </c>
      <c r="O185" s="581" t="str">
        <f>VLOOKUP($A185,'Pre-Assessment Estimator'!$A$10:$Z$224,O$2,FALSE)</f>
        <v>N/A</v>
      </c>
      <c r="P185" s="584" t="str">
        <f>IF(VLOOKUP($A185,'Pre-Assessment Estimator'!$A$10:$Z$224,P$2,FALSE)=0,"",VLOOKUP($A185,'Pre-Assessment Estimator'!$A$10:$Z$224,P$2,FALSE))</f>
        <v/>
      </c>
      <c r="Q185" s="584" t="str">
        <f>IF(VLOOKUP($A185,'Pre-Assessment Estimator'!$A$10:$Z$224,Q$2,FALSE)=0,"",VLOOKUP($A185,'Pre-Assessment Estimator'!$A$10:$Z$224,Q$2,FALSE))</f>
        <v/>
      </c>
      <c r="R185" s="585" t="str">
        <f>IF(VLOOKUP($A185,'Pre-Assessment Estimator'!$A$10:$Z$224,R$2,FALSE)=0,"",VLOOKUP($A185,'Pre-Assessment Estimator'!$A$10:$Z$224,R$2,FALSE))</f>
        <v/>
      </c>
      <c r="S185" s="588"/>
      <c r="T185" s="587" t="str">
        <f>IF(VLOOKUP($A185,'Pre-Assessment Estimator'!$A$10:$Z$224,T$2,FALSE)=0,"",VLOOKUP($A185,'Pre-Assessment Estimator'!$A$10:$Z$224,T$2,FALSE))</f>
        <v/>
      </c>
      <c r="U185" s="582" t="str">
        <f>VLOOKUP($A185,'Pre-Assessment Estimator'!$A$10:$Z$224,U$2,FALSE)</f>
        <v>0 c. 0 %</v>
      </c>
      <c r="V185" s="581" t="str">
        <f>VLOOKUP($A185,'Pre-Assessment Estimator'!$A$10:$Z$224,V$2,FALSE)</f>
        <v>N/A</v>
      </c>
      <c r="W185" s="584" t="str">
        <f>IF(VLOOKUP($A185,'Pre-Assessment Estimator'!$A$10:$Z$224,W$2,FALSE)=0,"",VLOOKUP($A185,'Pre-Assessment Estimator'!$A$10:$Z$224,W$2,FALSE))</f>
        <v/>
      </c>
      <c r="X185" s="584" t="str">
        <f>IF(VLOOKUP($A185,'Pre-Assessment Estimator'!$A$10:$Z$224,X$2,FALSE)=0,"",VLOOKUP($A185,'Pre-Assessment Estimator'!$A$10:$Z$224,X$2,FALSE))</f>
        <v/>
      </c>
      <c r="Y185" s="370" t="str">
        <f>IF(VLOOKUP($A185,'Pre-Assessment Estimator'!$A$10:$Z$224,Y$2,FALSE)=0,"",VLOOKUP($A185,'Pre-Assessment Estimator'!$A$10:$Z$224,Y$2,FALSE))</f>
        <v/>
      </c>
      <c r="Z185" s="705"/>
      <c r="AA185" s="584"/>
      <c r="AE185" s="386">
        <f t="shared" si="2"/>
        <v>1</v>
      </c>
      <c r="AF185" s="95" t="e">
        <f>VLOOKUP(J185,'Assessment Details'!$O$45:$P$48,2,FALSE)</f>
        <v>#N/A</v>
      </c>
      <c r="AG185" s="95" t="e">
        <f>VLOOKUP(Q185,'Assessment Details'!$O$45:$P$48,2,FALSE)</f>
        <v>#N/A</v>
      </c>
      <c r="AH185" s="95" t="e">
        <f>VLOOKUP(X185,'Assessment Details'!$O$45:$P$48,2,FALSE)</f>
        <v>#N/A</v>
      </c>
    </row>
    <row r="186" spans="1:34" ht="30" x14ac:dyDescent="0.25">
      <c r="A186" s="836">
        <v>177</v>
      </c>
      <c r="B186" s="1262"/>
      <c r="C186" s="1262"/>
      <c r="D186" s="340" t="str">
        <f>VLOOKUP($A186,'Pre-Assessment Estimator'!$A$10:$Z$224,D$2,FALSE)</f>
        <v>Pre-requisite: risk assessment and the "three- step strategy"</v>
      </c>
      <c r="E186" s="581" t="str">
        <f>VLOOKUP($A186,'Pre-Assessment Estimator'!$A$10:$Z$224,E$2,FALSE)</f>
        <v>Yes/No</v>
      </c>
      <c r="F186" s="587" t="str">
        <f>IF(VLOOKUP($A186,'Pre-Assessment Estimator'!$A$10:$Z$224,F$2,FALSE)=0,"",VLOOKUP($A186,'Pre-Assessment Estimator'!$A$10:$Z$224,F$2,FALSE))</f>
        <v/>
      </c>
      <c r="G186" s="1239" t="str">
        <f>VLOOKUP($A186,'Pre-Assessment Estimator'!$A$10:$Z$224,G$2,FALSE)</f>
        <v>-</v>
      </c>
      <c r="H186" s="583" t="str">
        <f>VLOOKUP($A186,'Pre-Assessment Estimator'!$A$10:$Z$224,H$2,FALSE)</f>
        <v>N/A</v>
      </c>
      <c r="I186" s="584" t="str">
        <f>IF(VLOOKUP($A186,'Pre-Assessment Estimator'!$A$10:$Z$224,I$2,FALSE)=0,"",VLOOKUP($A186,'Pre-Assessment Estimator'!$A$10:$Z$224,I$2,FALSE))</f>
        <v/>
      </c>
      <c r="J186" s="584" t="str">
        <f>IF(VLOOKUP($A186,'Pre-Assessment Estimator'!$A$10:$Z$224,J$2,FALSE)=0,"",VLOOKUP($A186,'Pre-Assessment Estimator'!$A$10:$Z$224,J$2,FALSE))</f>
        <v/>
      </c>
      <c r="K186" s="585" t="str">
        <f>IF(VLOOKUP($A186,'Pre-Assessment Estimator'!$A$10:$Z$224,K$2,FALSE)=0,"",VLOOKUP($A186,'Pre-Assessment Estimator'!$A$10:$Z$224,K$2,FALSE))</f>
        <v/>
      </c>
      <c r="L186" s="586"/>
      <c r="M186" s="587" t="str">
        <f>IF(VLOOKUP($A186,'Pre-Assessment Estimator'!$A$10:$Z$224,M$2,FALSE)=0,"",VLOOKUP($A186,'Pre-Assessment Estimator'!$A$10:$Z$224,M$2,FALSE))</f>
        <v/>
      </c>
      <c r="N186" s="582" t="str">
        <f>VLOOKUP($A186,'Pre-Assessment Estimator'!$A$10:$Z$224,N$2,FALSE)</f>
        <v>-</v>
      </c>
      <c r="O186" s="581" t="str">
        <f>VLOOKUP($A186,'Pre-Assessment Estimator'!$A$10:$Z$224,O$2,FALSE)</f>
        <v>N/A</v>
      </c>
      <c r="P186" s="584" t="str">
        <f>IF(VLOOKUP($A186,'Pre-Assessment Estimator'!$A$10:$Z$224,P$2,FALSE)=0,"",VLOOKUP($A186,'Pre-Assessment Estimator'!$A$10:$Z$224,P$2,FALSE))</f>
        <v/>
      </c>
      <c r="Q186" s="584" t="str">
        <f>IF(VLOOKUP($A186,'Pre-Assessment Estimator'!$A$10:$Z$224,Q$2,FALSE)=0,"",VLOOKUP($A186,'Pre-Assessment Estimator'!$A$10:$Z$224,Q$2,FALSE))</f>
        <v/>
      </c>
      <c r="R186" s="585" t="str">
        <f>IF(VLOOKUP($A186,'Pre-Assessment Estimator'!$A$10:$Z$224,R$2,FALSE)=0,"",VLOOKUP($A186,'Pre-Assessment Estimator'!$A$10:$Z$224,R$2,FALSE))</f>
        <v/>
      </c>
      <c r="S186" s="588"/>
      <c r="T186" s="587" t="str">
        <f>IF(VLOOKUP($A186,'Pre-Assessment Estimator'!$A$10:$Z$224,T$2,FALSE)=0,"",VLOOKUP($A186,'Pre-Assessment Estimator'!$A$10:$Z$224,T$2,FALSE))</f>
        <v/>
      </c>
      <c r="U186" s="582" t="str">
        <f>VLOOKUP($A186,'Pre-Assessment Estimator'!$A$10:$Z$224,U$2,FALSE)</f>
        <v>-</v>
      </c>
      <c r="V186" s="581" t="str">
        <f>VLOOKUP($A186,'Pre-Assessment Estimator'!$A$10:$Z$224,V$2,FALSE)</f>
        <v>N/A</v>
      </c>
      <c r="W186" s="584" t="str">
        <f>IF(VLOOKUP($A186,'Pre-Assessment Estimator'!$A$10:$Z$224,W$2,FALSE)=0,"",VLOOKUP($A186,'Pre-Assessment Estimator'!$A$10:$Z$224,W$2,FALSE))</f>
        <v/>
      </c>
      <c r="X186" s="584" t="str">
        <f>IF(VLOOKUP($A186,'Pre-Assessment Estimator'!$A$10:$Z$224,X$2,FALSE)=0,"",VLOOKUP($A186,'Pre-Assessment Estimator'!$A$10:$Z$224,X$2,FALSE))</f>
        <v/>
      </c>
      <c r="Y186" s="370" t="str">
        <f>IF(VLOOKUP($A186,'Pre-Assessment Estimator'!$A$10:$Z$224,Y$2,FALSE)=0,"",VLOOKUP($A186,'Pre-Assessment Estimator'!$A$10:$Z$224,Y$2,FALSE))</f>
        <v/>
      </c>
      <c r="Z186" s="705"/>
      <c r="AA186" s="584"/>
      <c r="AE186" s="386">
        <f t="shared" si="2"/>
        <v>1</v>
      </c>
      <c r="AF186" s="95" t="e">
        <f>VLOOKUP(J186,'Assessment Details'!$O$45:$P$48,2,FALSE)</f>
        <v>#N/A</v>
      </c>
      <c r="AG186" s="95" t="e">
        <f>VLOOKUP(Q186,'Assessment Details'!$O$45:$P$48,2,FALSE)</f>
        <v>#N/A</v>
      </c>
      <c r="AH186" s="95" t="e">
        <f>VLOOKUP(X186,'Assessment Details'!$O$45:$P$48,2,FALSE)</f>
        <v>#N/A</v>
      </c>
    </row>
    <row r="187" spans="1:34" ht="15.75" thickBot="1" x14ac:dyDescent="0.3">
      <c r="A187" s="836">
        <v>178</v>
      </c>
      <c r="B187" s="1262" t="s">
        <v>72</v>
      </c>
      <c r="C187" s="1262"/>
      <c r="D187" s="340" t="str">
        <f>VLOOKUP($A187,'Pre-Assessment Estimator'!$A$10:$Z$224,D$2,FALSE)</f>
        <v>5 mm precipitation</v>
      </c>
      <c r="E187" s="581">
        <f>VLOOKUP($A187,'Pre-Assessment Estimator'!$A$10:$Z$224,E$2,FALSE)</f>
        <v>1</v>
      </c>
      <c r="F187" s="587" t="str">
        <f>IF(VLOOKUP($A187,'Pre-Assessment Estimator'!$A$10:$Z$224,F$2,FALSE)=0,"",VLOOKUP($A187,'Pre-Assessment Estimator'!$A$10:$Z$224,F$2,FALSE))</f>
        <v/>
      </c>
      <c r="G187" s="1239">
        <f>VLOOKUP($A187,'Pre-Assessment Estimator'!$A$10:$Z$224,G$2,FALSE)</f>
        <v>0</v>
      </c>
      <c r="H187" s="583" t="str">
        <f>VLOOKUP($A187,'Pre-Assessment Estimator'!$A$10:$Z$224,H$2,FALSE)</f>
        <v>N/A</v>
      </c>
      <c r="I187" s="584" t="str">
        <f>IF(VLOOKUP($A187,'Pre-Assessment Estimator'!$A$10:$Z$224,I$2,FALSE)=0,"",VLOOKUP($A187,'Pre-Assessment Estimator'!$A$10:$Z$224,I$2,FALSE))</f>
        <v/>
      </c>
      <c r="J187" s="584" t="str">
        <f>IF(VLOOKUP($A187,'Pre-Assessment Estimator'!$A$10:$Z$224,J$2,FALSE)=0,"",VLOOKUP($A187,'Pre-Assessment Estimator'!$A$10:$Z$224,J$2,FALSE))</f>
        <v/>
      </c>
      <c r="K187" s="585" t="str">
        <f>IF(VLOOKUP($A187,'Pre-Assessment Estimator'!$A$10:$Z$224,K$2,FALSE)=0,"",VLOOKUP($A187,'Pre-Assessment Estimator'!$A$10:$Z$224,K$2,FALSE))</f>
        <v/>
      </c>
      <c r="L187" s="586"/>
      <c r="M187" s="587" t="str">
        <f>IF(VLOOKUP($A187,'Pre-Assessment Estimator'!$A$10:$Z$224,M$2,FALSE)=0,"",VLOOKUP($A187,'Pre-Assessment Estimator'!$A$10:$Z$224,M$2,FALSE))</f>
        <v/>
      </c>
      <c r="N187" s="582">
        <f>VLOOKUP($A187,'Pre-Assessment Estimator'!$A$10:$Z$224,N$2,FALSE)</f>
        <v>0</v>
      </c>
      <c r="O187" s="581" t="str">
        <f>VLOOKUP($A187,'Pre-Assessment Estimator'!$A$10:$Z$224,O$2,FALSE)</f>
        <v>N/A</v>
      </c>
      <c r="P187" s="584" t="str">
        <f>IF(VLOOKUP($A187,'Pre-Assessment Estimator'!$A$10:$Z$224,P$2,FALSE)=0,"",VLOOKUP($A187,'Pre-Assessment Estimator'!$A$10:$Z$224,P$2,FALSE))</f>
        <v/>
      </c>
      <c r="Q187" s="584" t="str">
        <f>IF(VLOOKUP($A187,'Pre-Assessment Estimator'!$A$10:$Z$224,Q$2,FALSE)=0,"",VLOOKUP($A187,'Pre-Assessment Estimator'!$A$10:$Z$224,Q$2,FALSE))</f>
        <v/>
      </c>
      <c r="R187" s="585" t="str">
        <f>IF(VLOOKUP($A187,'Pre-Assessment Estimator'!$A$10:$Z$224,R$2,FALSE)=0,"",VLOOKUP($A187,'Pre-Assessment Estimator'!$A$10:$Z$224,R$2,FALSE))</f>
        <v/>
      </c>
      <c r="S187" s="588"/>
      <c r="T187" s="587" t="str">
        <f>IF(VLOOKUP($A187,'Pre-Assessment Estimator'!$A$10:$Z$224,T$2,FALSE)=0,"",VLOOKUP($A187,'Pre-Assessment Estimator'!$A$10:$Z$224,T$2,FALSE))</f>
        <v/>
      </c>
      <c r="U187" s="582">
        <f>VLOOKUP($A187,'Pre-Assessment Estimator'!$A$10:$Z$224,U$2,FALSE)</f>
        <v>0</v>
      </c>
      <c r="V187" s="581" t="str">
        <f>VLOOKUP($A187,'Pre-Assessment Estimator'!$A$10:$Z$224,V$2,FALSE)</f>
        <v>N/A</v>
      </c>
      <c r="W187" s="584" t="str">
        <f>IF(VLOOKUP($A187,'Pre-Assessment Estimator'!$A$10:$Z$224,W$2,FALSE)=0,"",VLOOKUP($A187,'Pre-Assessment Estimator'!$A$10:$Z$224,W$2,FALSE))</f>
        <v/>
      </c>
      <c r="X187" s="584" t="str">
        <f>IF(VLOOKUP($A187,'Pre-Assessment Estimator'!$A$10:$Z$224,X$2,FALSE)=0,"",VLOOKUP($A187,'Pre-Assessment Estimator'!$A$10:$Z$224,X$2,FALSE))</f>
        <v/>
      </c>
      <c r="Y187" s="370" t="str">
        <f>IF(VLOOKUP($A187,'Pre-Assessment Estimator'!$A$10:$Z$224,Y$2,FALSE)=0,"",VLOOKUP($A187,'Pre-Assessment Estimator'!$A$10:$Z$224,Y$2,FALSE))</f>
        <v/>
      </c>
      <c r="Z187" s="705"/>
      <c r="AA187" s="584" t="str">
        <f>IF(VLOOKUP($A187,'Pre-Assessment Estimator'!$A$10:$AB$224,AA$2,FALSE)=0,"",VLOOKUP($A187,'Pre-Assessment Estimator'!$A$10:$AB$224,AA$2,FALSE))</f>
        <v/>
      </c>
      <c r="AE187" s="386">
        <f t="shared" si="2"/>
        <v>1</v>
      </c>
      <c r="AF187" s="276">
        <v>0</v>
      </c>
      <c r="AG187" s="276">
        <v>0</v>
      </c>
      <c r="AH187" s="276">
        <v>0</v>
      </c>
    </row>
    <row r="188" spans="1:34" x14ac:dyDescent="0.25">
      <c r="A188" s="836">
        <v>179</v>
      </c>
      <c r="B188" s="1262" t="s">
        <v>72</v>
      </c>
      <c r="C188" s="1262"/>
      <c r="D188" s="340" t="str">
        <f>VLOOKUP($A188,'Pre-Assessment Estimator'!$A$10:$Z$224,D$2,FALSE)</f>
        <v>Maximum run-off</v>
      </c>
      <c r="E188" s="581">
        <f>VLOOKUP($A188,'Pre-Assessment Estimator'!$A$10:$Z$224,E$2,FALSE)</f>
        <v>1</v>
      </c>
      <c r="F188" s="587" t="str">
        <f>IF(VLOOKUP($A188,'Pre-Assessment Estimator'!$A$10:$Z$224,F$2,FALSE)=0,"",VLOOKUP($A188,'Pre-Assessment Estimator'!$A$10:$Z$224,F$2,FALSE))</f>
        <v/>
      </c>
      <c r="G188" s="1239">
        <f>VLOOKUP($A188,'Pre-Assessment Estimator'!$A$10:$Z$224,G$2,FALSE)</f>
        <v>0</v>
      </c>
      <c r="H188" s="583" t="str">
        <f>VLOOKUP($A188,'Pre-Assessment Estimator'!$A$10:$Z$224,H$2,FALSE)</f>
        <v>N/A</v>
      </c>
      <c r="I188" s="584" t="str">
        <f>IF(VLOOKUP($A188,'Pre-Assessment Estimator'!$A$10:$Z$224,I$2,FALSE)=0,"",VLOOKUP($A188,'Pre-Assessment Estimator'!$A$10:$Z$224,I$2,FALSE))</f>
        <v/>
      </c>
      <c r="J188" s="584" t="str">
        <f>IF(VLOOKUP($A188,'Pre-Assessment Estimator'!$A$10:$Z$224,J$2,FALSE)=0,"",VLOOKUP($A188,'Pre-Assessment Estimator'!$A$10:$Z$224,J$2,FALSE))</f>
        <v/>
      </c>
      <c r="K188" s="585" t="str">
        <f>IF(VLOOKUP($A188,'Pre-Assessment Estimator'!$A$10:$Z$224,K$2,FALSE)=0,"",VLOOKUP($A188,'Pre-Assessment Estimator'!$A$10:$Z$224,K$2,FALSE))</f>
        <v/>
      </c>
      <c r="L188" s="586"/>
      <c r="M188" s="587" t="str">
        <f>IF(VLOOKUP($A188,'Pre-Assessment Estimator'!$A$10:$Z$224,M$2,FALSE)=0,"",VLOOKUP($A188,'Pre-Assessment Estimator'!$A$10:$Z$224,M$2,FALSE))</f>
        <v/>
      </c>
      <c r="N188" s="582">
        <f>VLOOKUP($A188,'Pre-Assessment Estimator'!$A$10:$Z$224,N$2,FALSE)</f>
        <v>0</v>
      </c>
      <c r="O188" s="581" t="str">
        <f>VLOOKUP($A188,'Pre-Assessment Estimator'!$A$10:$Z$224,O$2,FALSE)</f>
        <v>N/A</v>
      </c>
      <c r="P188" s="584" t="str">
        <f>IF(VLOOKUP($A188,'Pre-Assessment Estimator'!$A$10:$Z$224,P$2,FALSE)=0,"",VLOOKUP($A188,'Pre-Assessment Estimator'!$A$10:$Z$224,P$2,FALSE))</f>
        <v/>
      </c>
      <c r="Q188" s="584" t="str">
        <f>IF(VLOOKUP($A188,'Pre-Assessment Estimator'!$A$10:$Z$224,Q$2,FALSE)=0,"",VLOOKUP($A188,'Pre-Assessment Estimator'!$A$10:$Z$224,Q$2,FALSE))</f>
        <v/>
      </c>
      <c r="R188" s="585" t="str">
        <f>IF(VLOOKUP($A188,'Pre-Assessment Estimator'!$A$10:$Z$224,R$2,FALSE)=0,"",VLOOKUP($A188,'Pre-Assessment Estimator'!$A$10:$Z$224,R$2,FALSE))</f>
        <v/>
      </c>
      <c r="S188" s="588"/>
      <c r="T188" s="587" t="str">
        <f>IF(VLOOKUP($A188,'Pre-Assessment Estimator'!$A$10:$Z$224,T$2,FALSE)=0,"",VLOOKUP($A188,'Pre-Assessment Estimator'!$A$10:$Z$224,T$2,FALSE))</f>
        <v/>
      </c>
      <c r="U188" s="582">
        <f>VLOOKUP($A188,'Pre-Assessment Estimator'!$A$10:$Z$224,U$2,FALSE)</f>
        <v>0</v>
      </c>
      <c r="V188" s="581" t="str">
        <f>VLOOKUP($A188,'Pre-Assessment Estimator'!$A$10:$Z$224,V$2,FALSE)</f>
        <v>N/A</v>
      </c>
      <c r="W188" s="584" t="str">
        <f>IF(VLOOKUP($A188,'Pre-Assessment Estimator'!$A$10:$Z$224,W$2,FALSE)=0,"",VLOOKUP($A188,'Pre-Assessment Estimator'!$A$10:$Z$224,W$2,FALSE))</f>
        <v/>
      </c>
      <c r="X188" s="584" t="str">
        <f>IF(VLOOKUP($A188,'Pre-Assessment Estimator'!$A$10:$Z$224,X$2,FALSE)=0,"",VLOOKUP($A188,'Pre-Assessment Estimator'!$A$10:$Z$224,X$2,FALSE))</f>
        <v/>
      </c>
      <c r="Y188" s="370" t="str">
        <f>IF(VLOOKUP($A188,'Pre-Assessment Estimator'!$A$10:$Z$224,Y$2,FALSE)=0,"",VLOOKUP($A188,'Pre-Assessment Estimator'!$A$10:$Z$224,Y$2,FALSE))</f>
        <v/>
      </c>
      <c r="Z188" s="706"/>
      <c r="AA188" s="592" t="str">
        <f>IF(VLOOKUP($A188,'Pre-Assessment Estimator'!$A$10:$AB$224,AA$2,FALSE)=0,"",VLOOKUP($A188,'Pre-Assessment Estimator'!$A$10:$AB$224,AA$2,FALSE))</f>
        <v/>
      </c>
      <c r="AB188" s="389"/>
      <c r="AC188" s="389"/>
      <c r="AD188" s="389"/>
      <c r="AE188" s="386">
        <f t="shared" si="2"/>
        <v>1</v>
      </c>
      <c r="AF188" s="278">
        <v>0</v>
      </c>
      <c r="AG188" s="278">
        <v>0</v>
      </c>
      <c r="AH188" s="278">
        <v>0</v>
      </c>
    </row>
    <row r="189" spans="1:34" x14ac:dyDescent="0.25">
      <c r="A189" s="836">
        <v>180</v>
      </c>
      <c r="B189" s="1262" t="s">
        <v>73</v>
      </c>
      <c r="C189" s="1262"/>
      <c r="D189" s="340" t="str">
        <f>VLOOKUP($A189,'Pre-Assessment Estimator'!$A$10:$Z$224,D$2,FALSE)</f>
        <v>Measures for surface-based water management</v>
      </c>
      <c r="E189" s="581">
        <f>VLOOKUP($A189,'Pre-Assessment Estimator'!$A$10:$Z$224,E$2,FALSE)</f>
        <v>1</v>
      </c>
      <c r="F189" s="587" t="str">
        <f>IF(VLOOKUP($A189,'Pre-Assessment Estimator'!$A$10:$Z$224,F$2,FALSE)=0,"",VLOOKUP($A189,'Pre-Assessment Estimator'!$A$10:$Z$224,F$2,FALSE))</f>
        <v/>
      </c>
      <c r="G189" s="1239">
        <f>VLOOKUP($A189,'Pre-Assessment Estimator'!$A$10:$Z$224,G$2,FALSE)</f>
        <v>0</v>
      </c>
      <c r="H189" s="583" t="str">
        <f>VLOOKUP($A189,'Pre-Assessment Estimator'!$A$10:$Z$224,H$2,FALSE)</f>
        <v>N/A</v>
      </c>
      <c r="I189" s="584" t="str">
        <f>IF(VLOOKUP($A189,'Pre-Assessment Estimator'!$A$10:$Z$224,I$2,FALSE)=0,"",VLOOKUP($A189,'Pre-Assessment Estimator'!$A$10:$Z$224,I$2,FALSE))</f>
        <v/>
      </c>
      <c r="J189" s="584" t="str">
        <f>IF(VLOOKUP($A189,'Pre-Assessment Estimator'!$A$10:$Z$224,J$2,FALSE)=0,"",VLOOKUP($A189,'Pre-Assessment Estimator'!$A$10:$Z$224,J$2,FALSE))</f>
        <v/>
      </c>
      <c r="K189" s="585" t="str">
        <f>IF(VLOOKUP($A189,'Pre-Assessment Estimator'!$A$10:$Z$224,K$2,FALSE)=0,"",VLOOKUP($A189,'Pre-Assessment Estimator'!$A$10:$Z$224,K$2,FALSE))</f>
        <v/>
      </c>
      <c r="L189" s="586"/>
      <c r="M189" s="587" t="str">
        <f>IF(VLOOKUP($A189,'Pre-Assessment Estimator'!$A$10:$Z$224,M$2,FALSE)=0,"",VLOOKUP($A189,'Pre-Assessment Estimator'!$A$10:$Z$224,M$2,FALSE))</f>
        <v/>
      </c>
      <c r="N189" s="582">
        <f>VLOOKUP($A189,'Pre-Assessment Estimator'!$A$10:$Z$224,N$2,FALSE)</f>
        <v>0</v>
      </c>
      <c r="O189" s="581" t="str">
        <f>VLOOKUP($A189,'Pre-Assessment Estimator'!$A$10:$Z$224,O$2,FALSE)</f>
        <v>N/A</v>
      </c>
      <c r="P189" s="584" t="str">
        <f>IF(VLOOKUP($A189,'Pre-Assessment Estimator'!$A$10:$Z$224,P$2,FALSE)=0,"",VLOOKUP($A189,'Pre-Assessment Estimator'!$A$10:$Z$224,P$2,FALSE))</f>
        <v/>
      </c>
      <c r="Q189" s="584" t="str">
        <f>IF(VLOOKUP($A189,'Pre-Assessment Estimator'!$A$10:$Z$224,Q$2,FALSE)=0,"",VLOOKUP($A189,'Pre-Assessment Estimator'!$A$10:$Z$224,Q$2,FALSE))</f>
        <v/>
      </c>
      <c r="R189" s="585" t="str">
        <f>IF(VLOOKUP($A189,'Pre-Assessment Estimator'!$A$10:$Z$224,R$2,FALSE)=0,"",VLOOKUP($A189,'Pre-Assessment Estimator'!$A$10:$Z$224,R$2,FALSE))</f>
        <v/>
      </c>
      <c r="S189" s="588"/>
      <c r="T189" s="587" t="str">
        <f>IF(VLOOKUP($A189,'Pre-Assessment Estimator'!$A$10:$Z$224,T$2,FALSE)=0,"",VLOOKUP($A189,'Pre-Assessment Estimator'!$A$10:$Z$224,T$2,FALSE))</f>
        <v/>
      </c>
      <c r="U189" s="582">
        <f>VLOOKUP($A189,'Pre-Assessment Estimator'!$A$10:$Z$224,U$2,FALSE)</f>
        <v>0</v>
      </c>
      <c r="V189" s="581" t="str">
        <f>VLOOKUP($A189,'Pre-Assessment Estimator'!$A$10:$Z$224,V$2,FALSE)</f>
        <v>N/A</v>
      </c>
      <c r="W189" s="584" t="str">
        <f>IF(VLOOKUP($A189,'Pre-Assessment Estimator'!$A$10:$Z$224,W$2,FALSE)=0,"",VLOOKUP($A189,'Pre-Assessment Estimator'!$A$10:$Z$224,W$2,FALSE))</f>
        <v/>
      </c>
      <c r="X189" s="584" t="str">
        <f>IF(VLOOKUP($A189,'Pre-Assessment Estimator'!$A$10:$Z$224,X$2,FALSE)=0,"",VLOOKUP($A189,'Pre-Assessment Estimator'!$A$10:$Z$224,X$2,FALSE))</f>
        <v/>
      </c>
      <c r="Y189" s="370" t="str">
        <f>IF(VLOOKUP($A189,'Pre-Assessment Estimator'!$A$10:$Z$224,Y$2,FALSE)=0,"",VLOOKUP($A189,'Pre-Assessment Estimator'!$A$10:$Z$224,Y$2,FALSE))</f>
        <v/>
      </c>
      <c r="Z189" s="704"/>
      <c r="AA189" s="708" t="str">
        <f>IF(VLOOKUP($A189,'Pre-Assessment Estimator'!$A$10:$AB$224,AA$2,FALSE)=0,"",VLOOKUP($A189,'Pre-Assessment Estimator'!$A$10:$AB$224,AA$2,FALSE))</f>
        <v/>
      </c>
      <c r="AE189" s="386">
        <f t="shared" si="2"/>
        <v>1</v>
      </c>
      <c r="AF189" s="275">
        <v>0</v>
      </c>
      <c r="AG189" s="275">
        <v>0</v>
      </c>
      <c r="AH189" s="275">
        <v>0</v>
      </c>
    </row>
    <row r="190" spans="1:34" ht="30.75" thickBot="1" x14ac:dyDescent="0.3">
      <c r="A190" s="836">
        <v>181</v>
      </c>
      <c r="B190" s="1262" t="s">
        <v>73</v>
      </c>
      <c r="C190" s="1262"/>
      <c r="D190" s="341" t="str">
        <f>VLOOKUP($A190,'Pre-Assessment Estimator'!$A$10:$Z$224,D$2,FALSE)</f>
        <v>Total performance land use and ecology</v>
      </c>
      <c r="E190" s="589">
        <f>VLOOKUP($A190,'Pre-Assessment Estimator'!$A$10:$Z$224,E$2,FALSE)</f>
        <v>19</v>
      </c>
      <c r="F190" s="591" t="str">
        <f>IF(VLOOKUP($A190,'Pre-Assessment Estimator'!$A$10:$Z$224,F$2,FALSE)=0,"",VLOOKUP($A190,'Pre-Assessment Estimator'!$A$10:$Z$224,F$2,FALSE))</f>
        <v/>
      </c>
      <c r="G190" s="590">
        <f>VLOOKUP($A190,'Pre-Assessment Estimator'!$A$10:$Z$224,G$2,FALSE)</f>
        <v>0</v>
      </c>
      <c r="H190" s="589" t="str">
        <f>VLOOKUP($A190,'Pre-Assessment Estimator'!$A$10:$Z$224,H$2,FALSE)</f>
        <v>Credits achieved: 0</v>
      </c>
      <c r="I190" s="1220" t="str">
        <f>IF(VLOOKUP($A190,'Pre-Assessment Estimator'!$A$10:$Z$224,I$2,FALSE)=0,"",VLOOKUP($A190,'Pre-Assessment Estimator'!$A$10:$Z$224,I$2,FALSE))</f>
        <v/>
      </c>
      <c r="J190" s="1220" t="str">
        <f>IF(VLOOKUP($A190,'Pre-Assessment Estimator'!$A$10:$Z$224,J$2,FALSE)=0,"",VLOOKUP($A190,'Pre-Assessment Estimator'!$A$10:$Z$224,J$2,FALSE))</f>
        <v/>
      </c>
      <c r="K190" s="1240" t="str">
        <f>IF(VLOOKUP($A190,'Pre-Assessment Estimator'!$A$10:$Z$224,K$2,FALSE)=0,"",VLOOKUP($A190,'Pre-Assessment Estimator'!$A$10:$Z$224,K$2,FALSE))</f>
        <v/>
      </c>
      <c r="L190" s="1241"/>
      <c r="M190" s="591" t="str">
        <f>IF(VLOOKUP($A190,'Pre-Assessment Estimator'!$A$10:$Z$224,M$2,FALSE)=0,"",VLOOKUP($A190,'Pre-Assessment Estimator'!$A$10:$Z$224,M$2,FALSE))</f>
        <v/>
      </c>
      <c r="N190" s="590">
        <f>VLOOKUP($A190,'Pre-Assessment Estimator'!$A$10:$Z$224,N$2,FALSE)</f>
        <v>0</v>
      </c>
      <c r="O190" s="589" t="str">
        <f>VLOOKUP($A190,'Pre-Assessment Estimator'!$A$10:$Z$224,O$2,FALSE)</f>
        <v>Credits achieved: 0</v>
      </c>
      <c r="P190" s="1220" t="str">
        <f>IF(VLOOKUP($A190,'Pre-Assessment Estimator'!$A$10:$Z$224,P$2,FALSE)=0,"",VLOOKUP($A190,'Pre-Assessment Estimator'!$A$10:$Z$224,P$2,FALSE))</f>
        <v/>
      </c>
      <c r="Q190" s="1220" t="str">
        <f>IF(VLOOKUP($A190,'Pre-Assessment Estimator'!$A$10:$Z$224,Q$2,FALSE)=0,"",VLOOKUP($A190,'Pre-Assessment Estimator'!$A$10:$Z$224,Q$2,FALSE))</f>
        <v/>
      </c>
      <c r="R190" s="1240" t="str">
        <f>IF(VLOOKUP($A190,'Pre-Assessment Estimator'!$A$10:$Z$224,R$2,FALSE)=0,"",VLOOKUP($A190,'Pre-Assessment Estimator'!$A$10:$Z$224,R$2,FALSE))</f>
        <v/>
      </c>
      <c r="S190" s="1242"/>
      <c r="T190" s="591" t="str">
        <f>IF(VLOOKUP($A190,'Pre-Assessment Estimator'!$A$10:$Z$224,T$2,FALSE)=0,"",VLOOKUP($A190,'Pre-Assessment Estimator'!$A$10:$Z$224,T$2,FALSE))</f>
        <v/>
      </c>
      <c r="U190" s="590">
        <f>VLOOKUP($A190,'Pre-Assessment Estimator'!$A$10:$Z$224,U$2,FALSE)</f>
        <v>0</v>
      </c>
      <c r="V190" s="589" t="str">
        <f>VLOOKUP($A190,'Pre-Assessment Estimator'!$A$10:$Z$224,V$2,FALSE)</f>
        <v>Credits achieved: 0</v>
      </c>
      <c r="W190" s="1220" t="str">
        <f>IF(VLOOKUP($A190,'Pre-Assessment Estimator'!$A$10:$Z$224,W$2,FALSE)=0,"",VLOOKUP($A190,'Pre-Assessment Estimator'!$A$10:$Z$224,W$2,FALSE))</f>
        <v/>
      </c>
      <c r="X190" s="1220" t="str">
        <f>IF(VLOOKUP($A190,'Pre-Assessment Estimator'!$A$10:$Z$224,X$2,FALSE)=0,"",VLOOKUP($A190,'Pre-Assessment Estimator'!$A$10:$Z$224,X$2,FALSE))</f>
        <v/>
      </c>
      <c r="Y190" s="1243" t="str">
        <f>IF(VLOOKUP($A190,'Pre-Assessment Estimator'!$A$10:$Z$224,Y$2,FALSE)=0,"",VLOOKUP($A190,'Pre-Assessment Estimator'!$A$10:$Z$224,Y$2,FALSE))</f>
        <v/>
      </c>
      <c r="Z190" s="705"/>
      <c r="AA190" s="584" t="str">
        <f>IF(VLOOKUP($A190,'Pre-Assessment Estimator'!$A$10:$AB$224,AA$2,FALSE)=0,"",VLOOKUP($A190,'Pre-Assessment Estimator'!$A$10:$AB$224,AA$2,FALSE))</f>
        <v/>
      </c>
      <c r="AE190" s="386">
        <f t="shared" si="2"/>
        <v>1</v>
      </c>
      <c r="AF190" s="95" t="e">
        <f>VLOOKUP(J190,'Assessment Details'!$O$45:$P$48,2,FALSE)</f>
        <v>#N/A</v>
      </c>
      <c r="AG190" s="95" t="e">
        <f>VLOOKUP(Q190,'Assessment Details'!$O$45:$P$48,2,FALSE)</f>
        <v>#N/A</v>
      </c>
      <c r="AH190" s="95" t="e">
        <f>VLOOKUP(X190,'Assessment Details'!$O$45:$P$48,2,FALSE)</f>
        <v>#N/A</v>
      </c>
    </row>
    <row r="191" spans="1:34" x14ac:dyDescent="0.25">
      <c r="A191" s="836">
        <v>182</v>
      </c>
      <c r="B191" s="1262" t="s">
        <v>73</v>
      </c>
      <c r="C191" s="1262"/>
      <c r="D191" s="592"/>
      <c r="E191" s="593"/>
      <c r="F191" s="593"/>
      <c r="G191" s="593"/>
      <c r="H191" s="593"/>
      <c r="I191" s="592"/>
      <c r="J191" s="593"/>
      <c r="K191" s="592"/>
      <c r="L191" s="586"/>
      <c r="M191" s="593"/>
      <c r="N191" s="593"/>
      <c r="O191" s="593"/>
      <c r="P191" s="592"/>
      <c r="Q191" s="593"/>
      <c r="R191" s="592"/>
      <c r="S191" s="588"/>
      <c r="T191" s="593"/>
      <c r="U191" s="593"/>
      <c r="V191" s="593"/>
      <c r="W191" s="592"/>
      <c r="X191" s="593"/>
      <c r="Y191" s="343"/>
      <c r="Z191" s="705"/>
      <c r="AA191" s="584" t="str">
        <f>IF(VLOOKUP($A191,'Pre-Assessment Estimator'!$A$10:$AB$224,AA$2,FALSE)=0,"",VLOOKUP($A191,'Pre-Assessment Estimator'!$A$10:$AB$224,AA$2,FALSE))</f>
        <v/>
      </c>
      <c r="AE191" s="386">
        <f t="shared" si="2"/>
        <v>1</v>
      </c>
      <c r="AF191" s="95" t="e">
        <f>VLOOKUP(J191,'Assessment Details'!$O$45:$P$48,2,FALSE)</f>
        <v>#N/A</v>
      </c>
      <c r="AG191" s="95" t="e">
        <f>VLOOKUP(Q191,'Assessment Details'!$O$45:$P$48,2,FALSE)</f>
        <v>#N/A</v>
      </c>
      <c r="AH191" s="95" t="e">
        <f>VLOOKUP(X191,'Assessment Details'!$O$45:$P$48,2,FALSE)</f>
        <v>#N/A</v>
      </c>
    </row>
    <row r="192" spans="1:34" ht="18.75" x14ac:dyDescent="0.25">
      <c r="A192" s="836">
        <v>183</v>
      </c>
      <c r="B192" s="1262"/>
      <c r="C192" s="1262"/>
      <c r="D192" s="594" t="s">
        <v>73</v>
      </c>
      <c r="E192" s="577"/>
      <c r="F192" s="577"/>
      <c r="G192" s="577"/>
      <c r="H192" s="577"/>
      <c r="I192" s="578"/>
      <c r="J192" s="577"/>
      <c r="K192" s="578"/>
      <c r="L192" s="586"/>
      <c r="M192" s="577"/>
      <c r="N192" s="577"/>
      <c r="O192" s="577"/>
      <c r="P192" s="578"/>
      <c r="Q192" s="577"/>
      <c r="R192" s="578"/>
      <c r="S192" s="588"/>
      <c r="T192" s="577"/>
      <c r="U192" s="577"/>
      <c r="V192" s="577"/>
      <c r="W192" s="578"/>
      <c r="X192" s="577"/>
      <c r="Y192" s="411"/>
      <c r="Z192" s="705"/>
      <c r="AA192" s="584"/>
      <c r="AE192" s="386">
        <f t="shared" si="2"/>
        <v>1</v>
      </c>
      <c r="AF192" s="95" t="e">
        <f>VLOOKUP(J192,'Assessment Details'!$O$45:$P$48,2,FALSE)</f>
        <v>#N/A</v>
      </c>
      <c r="AG192" s="95" t="e">
        <f>VLOOKUP(Q192,'Assessment Details'!$O$45:$P$48,2,FALSE)</f>
        <v>#N/A</v>
      </c>
      <c r="AH192" s="95" t="e">
        <f>VLOOKUP(X192,'Assessment Details'!$O$45:$P$48,2,FALSE)</f>
        <v>#N/A</v>
      </c>
    </row>
    <row r="193" spans="1:34" x14ac:dyDescent="0.25">
      <c r="A193" s="836">
        <v>184</v>
      </c>
      <c r="B193" s="1262"/>
      <c r="C193" s="1262"/>
      <c r="D193" s="993" t="str">
        <f>VLOOKUP($A193,'Pre-Assessment Estimator'!$A$10:$Z$224,D$2,FALSE)</f>
        <v>POL 01 Impacts of refrigerants</v>
      </c>
      <c r="E193" s="581">
        <f>VLOOKUP($A193,'Pre-Assessment Estimator'!$A$10:$Z$224,E$2,FALSE)</f>
        <v>3</v>
      </c>
      <c r="F193" s="587" t="str">
        <f>IF(VLOOKUP($A193,'Pre-Assessment Estimator'!$A$10:$Z$224,F$2,FALSE)=0,"",VLOOKUP($A193,'Pre-Assessment Estimator'!$A$10:$Z$224,F$2,FALSE))</f>
        <v/>
      </c>
      <c r="G193" s="1239" t="str">
        <f>VLOOKUP($A193,'Pre-Assessment Estimator'!$A$10:$Z$224,G$2,FALSE)</f>
        <v>0 c. 0 %</v>
      </c>
      <c r="H193" s="583" t="str">
        <f>VLOOKUP($A193,'Pre-Assessment Estimator'!$A$10:$Z$224,H$2,FALSE)</f>
        <v>N/A</v>
      </c>
      <c r="I193" s="584" t="str">
        <f>IF(VLOOKUP($A193,'Pre-Assessment Estimator'!$A$10:$Z$224,I$2,FALSE)=0,"",VLOOKUP($A193,'Pre-Assessment Estimator'!$A$10:$Z$224,I$2,FALSE))</f>
        <v/>
      </c>
      <c r="J193" s="584" t="str">
        <f>IF(VLOOKUP($A193,'Pre-Assessment Estimator'!$A$10:$Z$224,J$2,FALSE)=0,"",VLOOKUP($A193,'Pre-Assessment Estimator'!$A$10:$Z$224,J$2,FALSE))</f>
        <v/>
      </c>
      <c r="K193" s="585" t="str">
        <f>IF(VLOOKUP($A193,'Pre-Assessment Estimator'!$A$10:$Z$224,K$2,FALSE)=0,"",VLOOKUP($A193,'Pre-Assessment Estimator'!$A$10:$Z$224,K$2,FALSE))</f>
        <v/>
      </c>
      <c r="L193" s="586"/>
      <c r="M193" s="587" t="str">
        <f>IF(VLOOKUP($A193,'Pre-Assessment Estimator'!$A$10:$Z$224,M$2,FALSE)=0,"",VLOOKUP($A193,'Pre-Assessment Estimator'!$A$10:$Z$224,M$2,FALSE))</f>
        <v/>
      </c>
      <c r="N193" s="582" t="str">
        <f>VLOOKUP($A193,'Pre-Assessment Estimator'!$A$10:$Z$224,N$2,FALSE)</f>
        <v>0 c. 0 %</v>
      </c>
      <c r="O193" s="581" t="str">
        <f>VLOOKUP($A193,'Pre-Assessment Estimator'!$A$10:$Z$224,O$2,FALSE)</f>
        <v>N/A</v>
      </c>
      <c r="P193" s="584" t="str">
        <f>IF(VLOOKUP($A193,'Pre-Assessment Estimator'!$A$10:$Z$224,P$2,FALSE)=0,"",VLOOKUP($A193,'Pre-Assessment Estimator'!$A$10:$Z$224,P$2,FALSE))</f>
        <v/>
      </c>
      <c r="Q193" s="584" t="str">
        <f>IF(VLOOKUP($A193,'Pre-Assessment Estimator'!$A$10:$Z$224,Q$2,FALSE)=0,"",VLOOKUP($A193,'Pre-Assessment Estimator'!$A$10:$Z$224,Q$2,FALSE))</f>
        <v/>
      </c>
      <c r="R193" s="585" t="str">
        <f>IF(VLOOKUP($A193,'Pre-Assessment Estimator'!$A$10:$Z$224,R$2,FALSE)=0,"",VLOOKUP($A193,'Pre-Assessment Estimator'!$A$10:$Z$224,R$2,FALSE))</f>
        <v/>
      </c>
      <c r="S193" s="588"/>
      <c r="T193" s="587" t="str">
        <f>IF(VLOOKUP($A193,'Pre-Assessment Estimator'!$A$10:$Z$224,T$2,FALSE)=0,"",VLOOKUP($A193,'Pre-Assessment Estimator'!$A$10:$Z$224,T$2,FALSE))</f>
        <v/>
      </c>
      <c r="U193" s="582" t="str">
        <f>VLOOKUP($A193,'Pre-Assessment Estimator'!$A$10:$Z$224,U$2,FALSE)</f>
        <v>0 c. 0 %</v>
      </c>
      <c r="V193" s="581" t="str">
        <f>VLOOKUP($A193,'Pre-Assessment Estimator'!$A$10:$Z$224,V$2,FALSE)</f>
        <v>N/A</v>
      </c>
      <c r="W193" s="584" t="str">
        <f>IF(VLOOKUP($A193,'Pre-Assessment Estimator'!$A$10:$Z$224,W$2,FALSE)=0,"",VLOOKUP($A193,'Pre-Assessment Estimator'!$A$10:$Z$224,W$2,FALSE))</f>
        <v/>
      </c>
      <c r="X193" s="584" t="str">
        <f>IF(VLOOKUP($A193,'Pre-Assessment Estimator'!$A$10:$Z$224,X$2,FALSE)=0,"",VLOOKUP($A193,'Pre-Assessment Estimator'!$A$10:$Z$224,X$2,FALSE))</f>
        <v/>
      </c>
      <c r="Y193" s="370" t="str">
        <f>IF(VLOOKUP($A193,'Pre-Assessment Estimator'!$A$10:$Z$224,Y$2,FALSE)=0,"",VLOOKUP($A193,'Pre-Assessment Estimator'!$A$10:$Z$224,Y$2,FALSE))</f>
        <v/>
      </c>
      <c r="Z193" s="705"/>
      <c r="AA193" s="584"/>
      <c r="AE193" s="386">
        <f t="shared" si="2"/>
        <v>1</v>
      </c>
      <c r="AF193" s="95" t="e">
        <f>VLOOKUP(J193,'Assessment Details'!$O$45:$P$48,2,FALSE)</f>
        <v>#N/A</v>
      </c>
      <c r="AG193" s="95" t="e">
        <f>VLOOKUP(Q193,'Assessment Details'!$O$45:$P$48,2,FALSE)</f>
        <v>#N/A</v>
      </c>
      <c r="AH193" s="95" t="e">
        <f>VLOOKUP(X193,'Assessment Details'!$O$45:$P$48,2,FALSE)</f>
        <v>#N/A</v>
      </c>
    </row>
    <row r="194" spans="1:34" x14ac:dyDescent="0.25">
      <c r="A194" s="836">
        <v>185</v>
      </c>
      <c r="B194" s="1262"/>
      <c r="C194" s="1262"/>
      <c r="D194" s="340" t="str">
        <f>VLOOKUP($A194,'Pre-Assessment Estimator'!$A$10:$Z$224,D$2,FALSE)</f>
        <v>No refrigerants in the building</v>
      </c>
      <c r="E194" s="581">
        <f>VLOOKUP($A194,'Pre-Assessment Estimator'!$A$10:$Z$224,E$2,FALSE)</f>
        <v>3</v>
      </c>
      <c r="F194" s="587" t="str">
        <f>IF(VLOOKUP($A194,'Pre-Assessment Estimator'!$A$10:$Z$224,F$2,FALSE)=0,"",VLOOKUP($A194,'Pre-Assessment Estimator'!$A$10:$Z$224,F$2,FALSE))</f>
        <v/>
      </c>
      <c r="G194" s="1239">
        <f>VLOOKUP($A194,'Pre-Assessment Estimator'!$A$10:$Z$224,G$2,FALSE)</f>
        <v>0</v>
      </c>
      <c r="H194" s="583" t="str">
        <f>VLOOKUP($A194,'Pre-Assessment Estimator'!$A$10:$Z$224,H$2,FALSE)</f>
        <v>N/A</v>
      </c>
      <c r="I194" s="584" t="str">
        <f>IF(VLOOKUP($A194,'Pre-Assessment Estimator'!$A$10:$Z$224,I$2,FALSE)=0,"",VLOOKUP($A194,'Pre-Assessment Estimator'!$A$10:$Z$224,I$2,FALSE))</f>
        <v/>
      </c>
      <c r="J194" s="584" t="str">
        <f>IF(VLOOKUP($A194,'Pre-Assessment Estimator'!$A$10:$Z$224,J$2,FALSE)=0,"",VLOOKUP($A194,'Pre-Assessment Estimator'!$A$10:$Z$224,J$2,FALSE))</f>
        <v/>
      </c>
      <c r="K194" s="585" t="str">
        <f>IF(VLOOKUP($A194,'Pre-Assessment Estimator'!$A$10:$Z$224,K$2,FALSE)=0,"",VLOOKUP($A194,'Pre-Assessment Estimator'!$A$10:$Z$224,K$2,FALSE))</f>
        <v/>
      </c>
      <c r="L194" s="586"/>
      <c r="M194" s="587" t="str">
        <f>IF(VLOOKUP($A194,'Pre-Assessment Estimator'!$A$10:$Z$224,M$2,FALSE)=0,"",VLOOKUP($A194,'Pre-Assessment Estimator'!$A$10:$Z$224,M$2,FALSE))</f>
        <v/>
      </c>
      <c r="N194" s="582">
        <f>VLOOKUP($A194,'Pre-Assessment Estimator'!$A$10:$Z$224,N$2,FALSE)</f>
        <v>0</v>
      </c>
      <c r="O194" s="581" t="str">
        <f>VLOOKUP($A194,'Pre-Assessment Estimator'!$A$10:$Z$224,O$2,FALSE)</f>
        <v>N/A</v>
      </c>
      <c r="P194" s="584" t="str">
        <f>IF(VLOOKUP($A194,'Pre-Assessment Estimator'!$A$10:$Z$224,P$2,FALSE)=0,"",VLOOKUP($A194,'Pre-Assessment Estimator'!$A$10:$Z$224,P$2,FALSE))</f>
        <v/>
      </c>
      <c r="Q194" s="584" t="str">
        <f>IF(VLOOKUP($A194,'Pre-Assessment Estimator'!$A$10:$Z$224,Q$2,FALSE)=0,"",VLOOKUP($A194,'Pre-Assessment Estimator'!$A$10:$Z$224,Q$2,FALSE))</f>
        <v/>
      </c>
      <c r="R194" s="585" t="str">
        <f>IF(VLOOKUP($A194,'Pre-Assessment Estimator'!$A$10:$Z$224,R$2,FALSE)=0,"",VLOOKUP($A194,'Pre-Assessment Estimator'!$A$10:$Z$224,R$2,FALSE))</f>
        <v/>
      </c>
      <c r="S194" s="588"/>
      <c r="T194" s="587" t="str">
        <f>IF(VLOOKUP($A194,'Pre-Assessment Estimator'!$A$10:$Z$224,T$2,FALSE)=0,"",VLOOKUP($A194,'Pre-Assessment Estimator'!$A$10:$Z$224,T$2,FALSE))</f>
        <v/>
      </c>
      <c r="U194" s="582">
        <f>VLOOKUP($A194,'Pre-Assessment Estimator'!$A$10:$Z$224,U$2,FALSE)</f>
        <v>0</v>
      </c>
      <c r="V194" s="581" t="str">
        <f>VLOOKUP($A194,'Pre-Assessment Estimator'!$A$10:$Z$224,V$2,FALSE)</f>
        <v>N/A</v>
      </c>
      <c r="W194" s="584" t="str">
        <f>IF(VLOOKUP($A194,'Pre-Assessment Estimator'!$A$10:$Z$224,W$2,FALSE)=0,"",VLOOKUP($A194,'Pre-Assessment Estimator'!$A$10:$Z$224,W$2,FALSE))</f>
        <v/>
      </c>
      <c r="X194" s="584" t="str">
        <f>IF(VLOOKUP($A194,'Pre-Assessment Estimator'!$A$10:$Z$224,X$2,FALSE)=0,"",VLOOKUP($A194,'Pre-Assessment Estimator'!$A$10:$Z$224,X$2,FALSE))</f>
        <v/>
      </c>
      <c r="Y194" s="370" t="str">
        <f>IF(VLOOKUP($A194,'Pre-Assessment Estimator'!$A$10:$Z$224,Y$2,FALSE)=0,"",VLOOKUP($A194,'Pre-Assessment Estimator'!$A$10:$Z$224,Y$2,FALSE))</f>
        <v/>
      </c>
      <c r="Z194" s="705"/>
      <c r="AA194" s="584"/>
      <c r="AE194" s="386">
        <f t="shared" si="2"/>
        <v>1</v>
      </c>
      <c r="AF194" s="95" t="e">
        <f>VLOOKUP(J194,'Assessment Details'!$O$45:$P$48,2,FALSE)</f>
        <v>#N/A</v>
      </c>
      <c r="AG194" s="95" t="e">
        <f>VLOOKUP(Q194,'Assessment Details'!$O$45:$P$48,2,FALSE)</f>
        <v>#N/A</v>
      </c>
      <c r="AH194" s="95" t="e">
        <f>VLOOKUP(X194,'Assessment Details'!$O$45:$P$48,2,FALSE)</f>
        <v>#N/A</v>
      </c>
    </row>
    <row r="195" spans="1:34" x14ac:dyDescent="0.25">
      <c r="A195" s="836">
        <v>186</v>
      </c>
      <c r="B195" s="1262"/>
      <c r="C195" s="1262"/>
      <c r="D195" s="340" t="str">
        <f>VLOOKUP($A195,'Pre-Assessment Estimator'!$A$10:$Z$224,D$2,FALSE)</f>
        <v>Pre-requisite: impact of refrigerants</v>
      </c>
      <c r="E195" s="581">
        <f>VLOOKUP($A195,'Pre-Assessment Estimator'!$A$10:$Z$224,E$2,FALSE)</f>
        <v>0</v>
      </c>
      <c r="F195" s="587" t="str">
        <f>IF(VLOOKUP($A195,'Pre-Assessment Estimator'!$A$10:$Z$224,F$2,FALSE)=0,"",VLOOKUP($A195,'Pre-Assessment Estimator'!$A$10:$Z$224,F$2,FALSE))</f>
        <v/>
      </c>
      <c r="G195" s="1239" t="str">
        <f>VLOOKUP($A195,'Pre-Assessment Estimator'!$A$10:$Z$224,G$2,FALSE)</f>
        <v>-</v>
      </c>
      <c r="H195" s="583" t="str">
        <f>VLOOKUP($A195,'Pre-Assessment Estimator'!$A$10:$Z$224,H$2,FALSE)</f>
        <v>N/A</v>
      </c>
      <c r="I195" s="584" t="str">
        <f>IF(VLOOKUP($A195,'Pre-Assessment Estimator'!$A$10:$Z$224,I$2,FALSE)=0,"",VLOOKUP($A195,'Pre-Assessment Estimator'!$A$10:$Z$224,I$2,FALSE))</f>
        <v/>
      </c>
      <c r="J195" s="584" t="str">
        <f>IF(VLOOKUP($A195,'Pre-Assessment Estimator'!$A$10:$Z$224,J$2,FALSE)=0,"",VLOOKUP($A195,'Pre-Assessment Estimator'!$A$10:$Z$224,J$2,FALSE))</f>
        <v/>
      </c>
      <c r="K195" s="585" t="str">
        <f>IF(VLOOKUP($A195,'Pre-Assessment Estimator'!$A$10:$Z$224,K$2,FALSE)=0,"",VLOOKUP($A195,'Pre-Assessment Estimator'!$A$10:$Z$224,K$2,FALSE))</f>
        <v/>
      </c>
      <c r="L195" s="586"/>
      <c r="M195" s="587" t="str">
        <f>IF(VLOOKUP($A195,'Pre-Assessment Estimator'!$A$10:$Z$224,M$2,FALSE)=0,"",VLOOKUP($A195,'Pre-Assessment Estimator'!$A$10:$Z$224,M$2,FALSE))</f>
        <v/>
      </c>
      <c r="N195" s="582" t="str">
        <f>VLOOKUP($A195,'Pre-Assessment Estimator'!$A$10:$Z$224,N$2,FALSE)</f>
        <v>-</v>
      </c>
      <c r="O195" s="581" t="str">
        <f>VLOOKUP($A195,'Pre-Assessment Estimator'!$A$10:$Z$224,O$2,FALSE)</f>
        <v>N/A</v>
      </c>
      <c r="P195" s="584" t="str">
        <f>IF(VLOOKUP($A195,'Pre-Assessment Estimator'!$A$10:$Z$224,P$2,FALSE)=0,"",VLOOKUP($A195,'Pre-Assessment Estimator'!$A$10:$Z$224,P$2,FALSE))</f>
        <v/>
      </c>
      <c r="Q195" s="584" t="str">
        <f>IF(VLOOKUP($A195,'Pre-Assessment Estimator'!$A$10:$Z$224,Q$2,FALSE)=0,"",VLOOKUP($A195,'Pre-Assessment Estimator'!$A$10:$Z$224,Q$2,FALSE))</f>
        <v/>
      </c>
      <c r="R195" s="585" t="str">
        <f>IF(VLOOKUP($A195,'Pre-Assessment Estimator'!$A$10:$Z$224,R$2,FALSE)=0,"",VLOOKUP($A195,'Pre-Assessment Estimator'!$A$10:$Z$224,R$2,FALSE))</f>
        <v/>
      </c>
      <c r="S195" s="588"/>
      <c r="T195" s="587" t="str">
        <f>IF(VLOOKUP($A195,'Pre-Assessment Estimator'!$A$10:$Z$224,T$2,FALSE)=0,"",VLOOKUP($A195,'Pre-Assessment Estimator'!$A$10:$Z$224,T$2,FALSE))</f>
        <v/>
      </c>
      <c r="U195" s="582" t="str">
        <f>VLOOKUP($A195,'Pre-Assessment Estimator'!$A$10:$Z$224,U$2,FALSE)</f>
        <v>-</v>
      </c>
      <c r="V195" s="581" t="str">
        <f>VLOOKUP($A195,'Pre-Assessment Estimator'!$A$10:$Z$224,V$2,FALSE)</f>
        <v>N/A</v>
      </c>
      <c r="W195" s="584" t="str">
        <f>IF(VLOOKUP($A195,'Pre-Assessment Estimator'!$A$10:$Z$224,W$2,FALSE)=0,"",VLOOKUP($A195,'Pre-Assessment Estimator'!$A$10:$Z$224,W$2,FALSE))</f>
        <v/>
      </c>
      <c r="X195" s="584" t="str">
        <f>IF(VLOOKUP($A195,'Pre-Assessment Estimator'!$A$10:$Z$224,X$2,FALSE)=0,"",VLOOKUP($A195,'Pre-Assessment Estimator'!$A$10:$Z$224,X$2,FALSE))</f>
        <v/>
      </c>
      <c r="Y195" s="370" t="str">
        <f>IF(VLOOKUP($A195,'Pre-Assessment Estimator'!$A$10:$Z$224,Y$2,FALSE)=0,"",VLOOKUP($A195,'Pre-Assessment Estimator'!$A$10:$Z$224,Y$2,FALSE))</f>
        <v/>
      </c>
      <c r="Z195" s="705"/>
      <c r="AA195" s="584"/>
      <c r="AE195" s="386">
        <f t="shared" si="2"/>
        <v>2</v>
      </c>
      <c r="AF195" s="95" t="e">
        <f>VLOOKUP(J195,'Assessment Details'!$O$45:$P$48,2,FALSE)</f>
        <v>#N/A</v>
      </c>
      <c r="AG195" s="95" t="e">
        <f>VLOOKUP(Q195,'Assessment Details'!$O$45:$P$48,2,FALSE)</f>
        <v>#N/A</v>
      </c>
      <c r="AH195" s="95" t="e">
        <f>VLOOKUP(X195,'Assessment Details'!$O$45:$P$48,2,FALSE)</f>
        <v>#N/A</v>
      </c>
    </row>
    <row r="196" spans="1:34" x14ac:dyDescent="0.25">
      <c r="A196" s="836">
        <v>187</v>
      </c>
      <c r="B196" s="1262"/>
      <c r="C196" s="1262"/>
      <c r="D196" s="340" t="str">
        <f>VLOOKUP($A196,'Pre-Assessment Estimator'!$A$10:$Z$224,D$2,FALSE)</f>
        <v>Impact of refrigerants</v>
      </c>
      <c r="E196" s="581">
        <f>VLOOKUP($A196,'Pre-Assessment Estimator'!$A$10:$Z$224,E$2,FALSE)</f>
        <v>0</v>
      </c>
      <c r="F196" s="587" t="str">
        <f>IF(VLOOKUP($A196,'Pre-Assessment Estimator'!$A$10:$Z$224,F$2,FALSE)=0,"",VLOOKUP($A196,'Pre-Assessment Estimator'!$A$10:$Z$224,F$2,FALSE))</f>
        <v/>
      </c>
      <c r="G196" s="1239">
        <f>VLOOKUP($A196,'Pre-Assessment Estimator'!$A$10:$Z$224,G$2,FALSE)</f>
        <v>0</v>
      </c>
      <c r="H196" s="583" t="str">
        <f>VLOOKUP($A196,'Pre-Assessment Estimator'!$A$10:$Z$224,H$2,FALSE)</f>
        <v>N/A</v>
      </c>
      <c r="I196" s="584" t="str">
        <f>IF(VLOOKUP($A196,'Pre-Assessment Estimator'!$A$10:$Z$224,I$2,FALSE)=0,"",VLOOKUP($A196,'Pre-Assessment Estimator'!$A$10:$Z$224,I$2,FALSE))</f>
        <v/>
      </c>
      <c r="J196" s="584" t="str">
        <f>IF(VLOOKUP($A196,'Pre-Assessment Estimator'!$A$10:$Z$224,J$2,FALSE)=0,"",VLOOKUP($A196,'Pre-Assessment Estimator'!$A$10:$Z$224,J$2,FALSE))</f>
        <v/>
      </c>
      <c r="K196" s="585" t="str">
        <f>IF(VLOOKUP($A196,'Pre-Assessment Estimator'!$A$10:$Z$224,K$2,FALSE)=0,"",VLOOKUP($A196,'Pre-Assessment Estimator'!$A$10:$Z$224,K$2,FALSE))</f>
        <v/>
      </c>
      <c r="L196" s="586"/>
      <c r="M196" s="587" t="str">
        <f>IF(VLOOKUP($A196,'Pre-Assessment Estimator'!$A$10:$Z$224,M$2,FALSE)=0,"",VLOOKUP($A196,'Pre-Assessment Estimator'!$A$10:$Z$224,M$2,FALSE))</f>
        <v/>
      </c>
      <c r="N196" s="582">
        <f>VLOOKUP($A196,'Pre-Assessment Estimator'!$A$10:$Z$224,N$2,FALSE)</f>
        <v>0</v>
      </c>
      <c r="O196" s="581" t="str">
        <f>VLOOKUP($A196,'Pre-Assessment Estimator'!$A$10:$Z$224,O$2,FALSE)</f>
        <v>N/A</v>
      </c>
      <c r="P196" s="584" t="str">
        <f>IF(VLOOKUP($A196,'Pre-Assessment Estimator'!$A$10:$Z$224,P$2,FALSE)=0,"",VLOOKUP($A196,'Pre-Assessment Estimator'!$A$10:$Z$224,P$2,FALSE))</f>
        <v/>
      </c>
      <c r="Q196" s="584" t="str">
        <f>IF(VLOOKUP($A196,'Pre-Assessment Estimator'!$A$10:$Z$224,Q$2,FALSE)=0,"",VLOOKUP($A196,'Pre-Assessment Estimator'!$A$10:$Z$224,Q$2,FALSE))</f>
        <v/>
      </c>
      <c r="R196" s="585" t="str">
        <f>IF(VLOOKUP($A196,'Pre-Assessment Estimator'!$A$10:$Z$224,R$2,FALSE)=0,"",VLOOKUP($A196,'Pre-Assessment Estimator'!$A$10:$Z$224,R$2,FALSE))</f>
        <v/>
      </c>
      <c r="S196" s="588"/>
      <c r="T196" s="587" t="str">
        <f>IF(VLOOKUP($A196,'Pre-Assessment Estimator'!$A$10:$Z$224,T$2,FALSE)=0,"",VLOOKUP($A196,'Pre-Assessment Estimator'!$A$10:$Z$224,T$2,FALSE))</f>
        <v/>
      </c>
      <c r="U196" s="582">
        <f>VLOOKUP($A196,'Pre-Assessment Estimator'!$A$10:$Z$224,U$2,FALSE)</f>
        <v>0</v>
      </c>
      <c r="V196" s="581" t="str">
        <f>VLOOKUP($A196,'Pre-Assessment Estimator'!$A$10:$Z$224,V$2,FALSE)</f>
        <v>N/A</v>
      </c>
      <c r="W196" s="584" t="str">
        <f>IF(VLOOKUP($A196,'Pre-Assessment Estimator'!$A$10:$Z$224,W$2,FALSE)=0,"",VLOOKUP($A196,'Pre-Assessment Estimator'!$A$10:$Z$224,W$2,FALSE))</f>
        <v/>
      </c>
      <c r="X196" s="584" t="str">
        <f>IF(VLOOKUP($A196,'Pre-Assessment Estimator'!$A$10:$Z$224,X$2,FALSE)=0,"",VLOOKUP($A196,'Pre-Assessment Estimator'!$A$10:$Z$224,X$2,FALSE))</f>
        <v/>
      </c>
      <c r="Y196" s="370" t="str">
        <f>IF(VLOOKUP($A196,'Pre-Assessment Estimator'!$A$10:$Z$224,Y$2,FALSE)=0,"",VLOOKUP($A196,'Pre-Assessment Estimator'!$A$10:$Z$224,Y$2,FALSE))</f>
        <v/>
      </c>
      <c r="Z196" s="705"/>
      <c r="AA196" s="584"/>
      <c r="AE196" s="386">
        <f t="shared" si="2"/>
        <v>2</v>
      </c>
      <c r="AF196" s="95" t="e">
        <f>VLOOKUP(J196,'Assessment Details'!$O$45:$P$48,2,FALSE)</f>
        <v>#N/A</v>
      </c>
      <c r="AG196" s="95" t="e">
        <f>VLOOKUP(Q196,'Assessment Details'!$O$45:$P$48,2,FALSE)</f>
        <v>#N/A</v>
      </c>
      <c r="AH196" s="95" t="e">
        <f>VLOOKUP(X196,'Assessment Details'!$O$45:$P$48,2,FALSE)</f>
        <v>#N/A</v>
      </c>
    </row>
    <row r="197" spans="1:34" x14ac:dyDescent="0.25">
      <c r="A197" s="836">
        <v>188</v>
      </c>
      <c r="B197" s="1262"/>
      <c r="C197" s="1262"/>
      <c r="D197" s="340" t="str">
        <f>VLOOKUP($A197,'Pre-Assessment Estimator'!$A$10:$Z$224,D$2,FALSE)</f>
        <v>Leak detection</v>
      </c>
      <c r="E197" s="581">
        <f>VLOOKUP($A197,'Pre-Assessment Estimator'!$A$10:$Z$224,E$2,FALSE)</f>
        <v>0</v>
      </c>
      <c r="F197" s="587" t="str">
        <f>IF(VLOOKUP($A197,'Pre-Assessment Estimator'!$A$10:$Z$224,F$2,FALSE)=0,"",VLOOKUP($A197,'Pre-Assessment Estimator'!$A$10:$Z$224,F$2,FALSE))</f>
        <v/>
      </c>
      <c r="G197" s="1239">
        <f>VLOOKUP($A197,'Pre-Assessment Estimator'!$A$10:$Z$224,G$2,FALSE)</f>
        <v>0</v>
      </c>
      <c r="H197" s="583" t="str">
        <f>VLOOKUP($A197,'Pre-Assessment Estimator'!$A$10:$Z$224,H$2,FALSE)</f>
        <v>N/A</v>
      </c>
      <c r="I197" s="584" t="str">
        <f>IF(VLOOKUP($A197,'Pre-Assessment Estimator'!$A$10:$Z$224,I$2,FALSE)=0,"",VLOOKUP($A197,'Pre-Assessment Estimator'!$A$10:$Z$224,I$2,FALSE))</f>
        <v/>
      </c>
      <c r="J197" s="584" t="str">
        <f>IF(VLOOKUP($A197,'Pre-Assessment Estimator'!$A$10:$Z$224,J$2,FALSE)=0,"",VLOOKUP($A197,'Pre-Assessment Estimator'!$A$10:$Z$224,J$2,FALSE))</f>
        <v/>
      </c>
      <c r="K197" s="585" t="str">
        <f>IF(VLOOKUP($A197,'Pre-Assessment Estimator'!$A$10:$Z$224,K$2,FALSE)=0,"",VLOOKUP($A197,'Pre-Assessment Estimator'!$A$10:$Z$224,K$2,FALSE))</f>
        <v/>
      </c>
      <c r="L197" s="586"/>
      <c r="M197" s="587" t="str">
        <f>IF(VLOOKUP($A197,'Pre-Assessment Estimator'!$A$10:$Z$224,M$2,FALSE)=0,"",VLOOKUP($A197,'Pre-Assessment Estimator'!$A$10:$Z$224,M$2,FALSE))</f>
        <v/>
      </c>
      <c r="N197" s="582">
        <f>VLOOKUP($A197,'Pre-Assessment Estimator'!$A$10:$Z$224,N$2,FALSE)</f>
        <v>0</v>
      </c>
      <c r="O197" s="581" t="str">
        <f>VLOOKUP($A197,'Pre-Assessment Estimator'!$A$10:$Z$224,O$2,FALSE)</f>
        <v>N/A</v>
      </c>
      <c r="P197" s="584" t="str">
        <f>IF(VLOOKUP($A197,'Pre-Assessment Estimator'!$A$10:$Z$224,P$2,FALSE)=0,"",VLOOKUP($A197,'Pre-Assessment Estimator'!$A$10:$Z$224,P$2,FALSE))</f>
        <v/>
      </c>
      <c r="Q197" s="584" t="str">
        <f>IF(VLOOKUP($A197,'Pre-Assessment Estimator'!$A$10:$Z$224,Q$2,FALSE)=0,"",VLOOKUP($A197,'Pre-Assessment Estimator'!$A$10:$Z$224,Q$2,FALSE))</f>
        <v/>
      </c>
      <c r="R197" s="585" t="str">
        <f>IF(VLOOKUP($A197,'Pre-Assessment Estimator'!$A$10:$Z$224,R$2,FALSE)=0,"",VLOOKUP($A197,'Pre-Assessment Estimator'!$A$10:$Z$224,R$2,FALSE))</f>
        <v/>
      </c>
      <c r="S197" s="588"/>
      <c r="T197" s="587" t="str">
        <f>IF(VLOOKUP($A197,'Pre-Assessment Estimator'!$A$10:$Z$224,T$2,FALSE)=0,"",VLOOKUP($A197,'Pre-Assessment Estimator'!$A$10:$Z$224,T$2,FALSE))</f>
        <v/>
      </c>
      <c r="U197" s="582">
        <f>VLOOKUP($A197,'Pre-Assessment Estimator'!$A$10:$Z$224,U$2,FALSE)</f>
        <v>0</v>
      </c>
      <c r="V197" s="581" t="str">
        <f>VLOOKUP($A197,'Pre-Assessment Estimator'!$A$10:$Z$224,V$2,FALSE)</f>
        <v>N/A</v>
      </c>
      <c r="W197" s="584" t="str">
        <f>IF(VLOOKUP($A197,'Pre-Assessment Estimator'!$A$10:$Z$224,W$2,FALSE)=0,"",VLOOKUP($A197,'Pre-Assessment Estimator'!$A$10:$Z$224,W$2,FALSE))</f>
        <v/>
      </c>
      <c r="X197" s="584" t="str">
        <f>IF(VLOOKUP($A197,'Pre-Assessment Estimator'!$A$10:$Z$224,X$2,FALSE)=0,"",VLOOKUP($A197,'Pre-Assessment Estimator'!$A$10:$Z$224,X$2,FALSE))</f>
        <v/>
      </c>
      <c r="Y197" s="370" t="str">
        <f>IF(VLOOKUP($A197,'Pre-Assessment Estimator'!$A$10:$Z$224,Y$2,FALSE)=0,"",VLOOKUP($A197,'Pre-Assessment Estimator'!$A$10:$Z$224,Y$2,FALSE))</f>
        <v/>
      </c>
      <c r="Z197" s="705"/>
      <c r="AA197" s="584"/>
      <c r="AE197" s="386">
        <f t="shared" si="2"/>
        <v>2</v>
      </c>
      <c r="AF197" s="95" t="e">
        <f>VLOOKUP(J197,'Assessment Details'!$O$45:$P$48,2,FALSE)</f>
        <v>#N/A</v>
      </c>
      <c r="AG197" s="95" t="e">
        <f>VLOOKUP(Q197,'Assessment Details'!$O$45:$P$48,2,FALSE)</f>
        <v>#N/A</v>
      </c>
      <c r="AH197" s="95" t="e">
        <f>VLOOKUP(X197,'Assessment Details'!$O$45:$P$48,2,FALSE)</f>
        <v>#N/A</v>
      </c>
    </row>
    <row r="198" spans="1:34" x14ac:dyDescent="0.25">
      <c r="A198" s="836">
        <v>189</v>
      </c>
      <c r="B198" s="1262"/>
      <c r="C198" s="1262"/>
      <c r="D198" s="993" t="str">
        <f>VLOOKUP($A198,'Pre-Assessment Estimator'!$A$10:$Z$224,D$2,FALSE)</f>
        <v>POL 02 Local air quality</v>
      </c>
      <c r="E198" s="581">
        <f>VLOOKUP($A198,'Pre-Assessment Estimator'!$A$10:$Z$224,E$2,FALSE)</f>
        <v>2</v>
      </c>
      <c r="F198" s="587" t="str">
        <f>IF(VLOOKUP($A198,'Pre-Assessment Estimator'!$A$10:$Z$224,F$2,FALSE)=0,"",VLOOKUP($A198,'Pre-Assessment Estimator'!$A$10:$Z$224,F$2,FALSE))</f>
        <v/>
      </c>
      <c r="G198" s="1239" t="str">
        <f>VLOOKUP($A198,'Pre-Assessment Estimator'!$A$10:$Z$224,G$2,FALSE)</f>
        <v>0 c. 0 %</v>
      </c>
      <c r="H198" s="583" t="str">
        <f>VLOOKUP($A198,'Pre-Assessment Estimator'!$A$10:$Z$224,H$2,FALSE)</f>
        <v>N/A</v>
      </c>
      <c r="I198" s="584" t="str">
        <f>IF(VLOOKUP($A198,'Pre-Assessment Estimator'!$A$10:$Z$224,I$2,FALSE)=0,"",VLOOKUP($A198,'Pre-Assessment Estimator'!$A$10:$Z$224,I$2,FALSE))</f>
        <v/>
      </c>
      <c r="J198" s="584" t="str">
        <f>IF(VLOOKUP($A198,'Pre-Assessment Estimator'!$A$10:$Z$224,J$2,FALSE)=0,"",VLOOKUP($A198,'Pre-Assessment Estimator'!$A$10:$Z$224,J$2,FALSE))</f>
        <v/>
      </c>
      <c r="K198" s="585" t="str">
        <f>IF(VLOOKUP($A198,'Pre-Assessment Estimator'!$A$10:$Z$224,K$2,FALSE)=0,"",VLOOKUP($A198,'Pre-Assessment Estimator'!$A$10:$Z$224,K$2,FALSE))</f>
        <v/>
      </c>
      <c r="L198" s="586"/>
      <c r="M198" s="587" t="str">
        <f>IF(VLOOKUP($A198,'Pre-Assessment Estimator'!$A$10:$Z$224,M$2,FALSE)=0,"",VLOOKUP($A198,'Pre-Assessment Estimator'!$A$10:$Z$224,M$2,FALSE))</f>
        <v/>
      </c>
      <c r="N198" s="582" t="str">
        <f>VLOOKUP($A198,'Pre-Assessment Estimator'!$A$10:$Z$224,N$2,FALSE)</f>
        <v>0 c. 0 %</v>
      </c>
      <c r="O198" s="581" t="str">
        <f>VLOOKUP($A198,'Pre-Assessment Estimator'!$A$10:$Z$224,O$2,FALSE)</f>
        <v>N/A</v>
      </c>
      <c r="P198" s="584" t="str">
        <f>IF(VLOOKUP($A198,'Pre-Assessment Estimator'!$A$10:$Z$224,P$2,FALSE)=0,"",VLOOKUP($A198,'Pre-Assessment Estimator'!$A$10:$Z$224,P$2,FALSE))</f>
        <v/>
      </c>
      <c r="Q198" s="584" t="str">
        <f>IF(VLOOKUP($A198,'Pre-Assessment Estimator'!$A$10:$Z$224,Q$2,FALSE)=0,"",VLOOKUP($A198,'Pre-Assessment Estimator'!$A$10:$Z$224,Q$2,FALSE))</f>
        <v/>
      </c>
      <c r="R198" s="585" t="str">
        <f>IF(VLOOKUP($A198,'Pre-Assessment Estimator'!$A$10:$Z$224,R$2,FALSE)=0,"",VLOOKUP($A198,'Pre-Assessment Estimator'!$A$10:$Z$224,R$2,FALSE))</f>
        <v/>
      </c>
      <c r="S198" s="588"/>
      <c r="T198" s="587" t="str">
        <f>IF(VLOOKUP($A198,'Pre-Assessment Estimator'!$A$10:$Z$224,T$2,FALSE)=0,"",VLOOKUP($A198,'Pre-Assessment Estimator'!$A$10:$Z$224,T$2,FALSE))</f>
        <v/>
      </c>
      <c r="U198" s="582" t="str">
        <f>VLOOKUP($A198,'Pre-Assessment Estimator'!$A$10:$Z$224,U$2,FALSE)</f>
        <v>0 c. 0 %</v>
      </c>
      <c r="V198" s="581" t="str">
        <f>VLOOKUP($A198,'Pre-Assessment Estimator'!$A$10:$Z$224,V$2,FALSE)</f>
        <v>N/A</v>
      </c>
      <c r="W198" s="584" t="str">
        <f>IF(VLOOKUP($A198,'Pre-Assessment Estimator'!$A$10:$Z$224,W$2,FALSE)=0,"",VLOOKUP($A198,'Pre-Assessment Estimator'!$A$10:$Z$224,W$2,FALSE))</f>
        <v/>
      </c>
      <c r="X198" s="584" t="str">
        <f>IF(VLOOKUP($A198,'Pre-Assessment Estimator'!$A$10:$Z$224,X$2,FALSE)=0,"",VLOOKUP($A198,'Pre-Assessment Estimator'!$A$10:$Z$224,X$2,FALSE))</f>
        <v/>
      </c>
      <c r="Y198" s="370" t="str">
        <f>IF(VLOOKUP($A198,'Pre-Assessment Estimator'!$A$10:$Z$224,Y$2,FALSE)=0,"",VLOOKUP($A198,'Pre-Assessment Estimator'!$A$10:$Z$224,Y$2,FALSE))</f>
        <v/>
      </c>
      <c r="Z198" s="705"/>
      <c r="AA198" s="584"/>
      <c r="AE198" s="386">
        <f t="shared" si="2"/>
        <v>1</v>
      </c>
      <c r="AF198" s="95" t="e">
        <f>VLOOKUP(J198,'Assessment Details'!$O$45:$P$48,2,FALSE)</f>
        <v>#N/A</v>
      </c>
      <c r="AG198" s="95" t="e">
        <f>VLOOKUP(Q198,'Assessment Details'!$O$45:$P$48,2,FALSE)</f>
        <v>#N/A</v>
      </c>
      <c r="AH198" s="95" t="e">
        <f>VLOOKUP(X198,'Assessment Details'!$O$45:$P$48,2,FALSE)</f>
        <v>#N/A</v>
      </c>
    </row>
    <row r="199" spans="1:34" x14ac:dyDescent="0.25">
      <c r="A199" s="836">
        <v>190</v>
      </c>
      <c r="B199" s="1262"/>
      <c r="C199" s="1262"/>
      <c r="D199" s="340" t="str">
        <f>VLOOKUP($A199,'Pre-Assessment Estimator'!$A$10:$Z$224,D$2,FALSE)</f>
        <v>Non-combustion heating and hot water system</v>
      </c>
      <c r="E199" s="581">
        <f>VLOOKUP($A199,'Pre-Assessment Estimator'!$A$10:$Z$224,E$2,FALSE)</f>
        <v>2</v>
      </c>
      <c r="F199" s="587" t="str">
        <f>IF(VLOOKUP($A199,'Pre-Assessment Estimator'!$A$10:$Z$224,F$2,FALSE)=0,"",VLOOKUP($A199,'Pre-Assessment Estimator'!$A$10:$Z$224,F$2,FALSE))</f>
        <v/>
      </c>
      <c r="G199" s="1239">
        <f>VLOOKUP($A199,'Pre-Assessment Estimator'!$A$10:$Z$224,G$2,FALSE)</f>
        <v>0</v>
      </c>
      <c r="H199" s="583" t="str">
        <f>VLOOKUP($A199,'Pre-Assessment Estimator'!$A$10:$Z$224,H$2,FALSE)</f>
        <v>N/A</v>
      </c>
      <c r="I199" s="584" t="str">
        <f>IF(VLOOKUP($A199,'Pre-Assessment Estimator'!$A$10:$Z$224,I$2,FALSE)=0,"",VLOOKUP($A199,'Pre-Assessment Estimator'!$A$10:$Z$224,I$2,FALSE))</f>
        <v/>
      </c>
      <c r="J199" s="584" t="str">
        <f>IF(VLOOKUP($A199,'Pre-Assessment Estimator'!$A$10:$Z$224,J$2,FALSE)=0,"",VLOOKUP($A199,'Pre-Assessment Estimator'!$A$10:$Z$224,J$2,FALSE))</f>
        <v/>
      </c>
      <c r="K199" s="585" t="str">
        <f>IF(VLOOKUP($A199,'Pre-Assessment Estimator'!$A$10:$Z$224,K$2,FALSE)=0,"",VLOOKUP($A199,'Pre-Assessment Estimator'!$A$10:$Z$224,K$2,FALSE))</f>
        <v/>
      </c>
      <c r="L199" s="586"/>
      <c r="M199" s="587" t="str">
        <f>IF(VLOOKUP($A199,'Pre-Assessment Estimator'!$A$10:$Z$224,M$2,FALSE)=0,"",VLOOKUP($A199,'Pre-Assessment Estimator'!$A$10:$Z$224,M$2,FALSE))</f>
        <v/>
      </c>
      <c r="N199" s="582">
        <f>VLOOKUP($A199,'Pre-Assessment Estimator'!$A$10:$Z$224,N$2,FALSE)</f>
        <v>0</v>
      </c>
      <c r="O199" s="581" t="str">
        <f>VLOOKUP($A199,'Pre-Assessment Estimator'!$A$10:$Z$224,O$2,FALSE)</f>
        <v>N/A</v>
      </c>
      <c r="P199" s="584" t="str">
        <f>IF(VLOOKUP($A199,'Pre-Assessment Estimator'!$A$10:$Z$224,P$2,FALSE)=0,"",VLOOKUP($A199,'Pre-Assessment Estimator'!$A$10:$Z$224,P$2,FALSE))</f>
        <v/>
      </c>
      <c r="Q199" s="584" t="str">
        <f>IF(VLOOKUP($A199,'Pre-Assessment Estimator'!$A$10:$Z$224,Q$2,FALSE)=0,"",VLOOKUP($A199,'Pre-Assessment Estimator'!$A$10:$Z$224,Q$2,FALSE))</f>
        <v/>
      </c>
      <c r="R199" s="585" t="str">
        <f>IF(VLOOKUP($A199,'Pre-Assessment Estimator'!$A$10:$Z$224,R$2,FALSE)=0,"",VLOOKUP($A199,'Pre-Assessment Estimator'!$A$10:$Z$224,R$2,FALSE))</f>
        <v/>
      </c>
      <c r="S199" s="588"/>
      <c r="T199" s="587" t="str">
        <f>IF(VLOOKUP($A199,'Pre-Assessment Estimator'!$A$10:$Z$224,T$2,FALSE)=0,"",VLOOKUP($A199,'Pre-Assessment Estimator'!$A$10:$Z$224,T$2,FALSE))</f>
        <v/>
      </c>
      <c r="U199" s="582">
        <f>VLOOKUP($A199,'Pre-Assessment Estimator'!$A$10:$Z$224,U$2,FALSE)</f>
        <v>0</v>
      </c>
      <c r="V199" s="581" t="str">
        <f>VLOOKUP($A199,'Pre-Assessment Estimator'!$A$10:$Z$224,V$2,FALSE)</f>
        <v>N/A</v>
      </c>
      <c r="W199" s="584" t="str">
        <f>IF(VLOOKUP($A199,'Pre-Assessment Estimator'!$A$10:$Z$224,W$2,FALSE)=0,"",VLOOKUP($A199,'Pre-Assessment Estimator'!$A$10:$Z$224,W$2,FALSE))</f>
        <v/>
      </c>
      <c r="X199" s="584" t="str">
        <f>IF(VLOOKUP($A199,'Pre-Assessment Estimator'!$A$10:$Z$224,X$2,FALSE)=0,"",VLOOKUP($A199,'Pre-Assessment Estimator'!$A$10:$Z$224,X$2,FALSE))</f>
        <v/>
      </c>
      <c r="Y199" s="370" t="str">
        <f>IF(VLOOKUP($A199,'Pre-Assessment Estimator'!$A$10:$Z$224,Y$2,FALSE)=0,"",VLOOKUP($A199,'Pre-Assessment Estimator'!$A$10:$Z$224,Y$2,FALSE))</f>
        <v/>
      </c>
      <c r="Z199" s="705"/>
      <c r="AA199" s="584"/>
      <c r="AE199" s="386">
        <f t="shared" si="2"/>
        <v>1</v>
      </c>
      <c r="AF199" s="95" t="e">
        <f>VLOOKUP(J199,'Assessment Details'!$O$45:$P$48,2,FALSE)</f>
        <v>#N/A</v>
      </c>
      <c r="AG199" s="95" t="e">
        <f>VLOOKUP(Q199,'Assessment Details'!$O$45:$P$48,2,FALSE)</f>
        <v>#N/A</v>
      </c>
      <c r="AH199" s="95" t="e">
        <f>VLOOKUP(X199,'Assessment Details'!$O$45:$P$48,2,FALSE)</f>
        <v>#N/A</v>
      </c>
    </row>
    <row r="200" spans="1:34" x14ac:dyDescent="0.25">
      <c r="A200" s="836">
        <v>191</v>
      </c>
      <c r="B200" s="1262"/>
      <c r="C200" s="1262"/>
      <c r="D200" s="340" t="str">
        <f>VLOOKUP($A200,'Pre-Assessment Estimator'!$A$10:$Z$224,D$2,FALSE)</f>
        <v>Combustion-powered heating and hot water</v>
      </c>
      <c r="E200" s="581">
        <f>VLOOKUP($A200,'Pre-Assessment Estimator'!$A$10:$Z$224,E$2,FALSE)</f>
        <v>0</v>
      </c>
      <c r="F200" s="587" t="str">
        <f>IF(VLOOKUP($A200,'Pre-Assessment Estimator'!$A$10:$Z$224,F$2,FALSE)=0,"",VLOOKUP($A200,'Pre-Assessment Estimator'!$A$10:$Z$224,F$2,FALSE))</f>
        <v/>
      </c>
      <c r="G200" s="1239">
        <f>VLOOKUP($A200,'Pre-Assessment Estimator'!$A$10:$Z$224,G$2,FALSE)</f>
        <v>0</v>
      </c>
      <c r="H200" s="583" t="str">
        <f>VLOOKUP($A200,'Pre-Assessment Estimator'!$A$10:$Z$224,H$2,FALSE)</f>
        <v>N/A</v>
      </c>
      <c r="I200" s="584" t="str">
        <f>IF(VLOOKUP($A200,'Pre-Assessment Estimator'!$A$10:$Z$224,I$2,FALSE)=0,"",VLOOKUP($A200,'Pre-Assessment Estimator'!$A$10:$Z$224,I$2,FALSE))</f>
        <v/>
      </c>
      <c r="J200" s="584" t="str">
        <f>IF(VLOOKUP($A200,'Pre-Assessment Estimator'!$A$10:$Z$224,J$2,FALSE)=0,"",VLOOKUP($A200,'Pre-Assessment Estimator'!$A$10:$Z$224,J$2,FALSE))</f>
        <v/>
      </c>
      <c r="K200" s="585" t="str">
        <f>IF(VLOOKUP($A200,'Pre-Assessment Estimator'!$A$10:$Z$224,K$2,FALSE)=0,"",VLOOKUP($A200,'Pre-Assessment Estimator'!$A$10:$Z$224,K$2,FALSE))</f>
        <v/>
      </c>
      <c r="L200" s="586"/>
      <c r="M200" s="587" t="str">
        <f>IF(VLOOKUP($A200,'Pre-Assessment Estimator'!$A$10:$Z$224,M$2,FALSE)=0,"",VLOOKUP($A200,'Pre-Assessment Estimator'!$A$10:$Z$224,M$2,FALSE))</f>
        <v/>
      </c>
      <c r="N200" s="582">
        <f>VLOOKUP($A200,'Pre-Assessment Estimator'!$A$10:$Z$224,N$2,FALSE)</f>
        <v>0</v>
      </c>
      <c r="O200" s="581" t="str">
        <f>VLOOKUP($A200,'Pre-Assessment Estimator'!$A$10:$Z$224,O$2,FALSE)</f>
        <v>N/A</v>
      </c>
      <c r="P200" s="584" t="str">
        <f>IF(VLOOKUP($A200,'Pre-Assessment Estimator'!$A$10:$Z$224,P$2,FALSE)=0,"",VLOOKUP($A200,'Pre-Assessment Estimator'!$A$10:$Z$224,P$2,FALSE))</f>
        <v/>
      </c>
      <c r="Q200" s="584" t="str">
        <f>IF(VLOOKUP($A200,'Pre-Assessment Estimator'!$A$10:$Z$224,Q$2,FALSE)=0,"",VLOOKUP($A200,'Pre-Assessment Estimator'!$A$10:$Z$224,Q$2,FALSE))</f>
        <v/>
      </c>
      <c r="R200" s="585" t="str">
        <f>IF(VLOOKUP($A200,'Pre-Assessment Estimator'!$A$10:$Z$224,R$2,FALSE)=0,"",VLOOKUP($A200,'Pre-Assessment Estimator'!$A$10:$Z$224,R$2,FALSE))</f>
        <v/>
      </c>
      <c r="S200" s="588"/>
      <c r="T200" s="587" t="str">
        <f>IF(VLOOKUP($A200,'Pre-Assessment Estimator'!$A$10:$Z$224,T$2,FALSE)=0,"",VLOOKUP($A200,'Pre-Assessment Estimator'!$A$10:$Z$224,T$2,FALSE))</f>
        <v/>
      </c>
      <c r="U200" s="582">
        <f>VLOOKUP($A200,'Pre-Assessment Estimator'!$A$10:$Z$224,U$2,FALSE)</f>
        <v>0</v>
      </c>
      <c r="V200" s="581" t="str">
        <f>VLOOKUP($A200,'Pre-Assessment Estimator'!$A$10:$Z$224,V$2,FALSE)</f>
        <v>N/A</v>
      </c>
      <c r="W200" s="584" t="str">
        <f>IF(VLOOKUP($A200,'Pre-Assessment Estimator'!$A$10:$Z$224,W$2,FALSE)=0,"",VLOOKUP($A200,'Pre-Assessment Estimator'!$A$10:$Z$224,W$2,FALSE))</f>
        <v/>
      </c>
      <c r="X200" s="584" t="str">
        <f>IF(VLOOKUP($A200,'Pre-Assessment Estimator'!$A$10:$Z$224,X$2,FALSE)=0,"",VLOOKUP($A200,'Pre-Assessment Estimator'!$A$10:$Z$224,X$2,FALSE))</f>
        <v/>
      </c>
      <c r="Y200" s="370" t="str">
        <f>IF(VLOOKUP($A200,'Pre-Assessment Estimator'!$A$10:$Z$224,Y$2,FALSE)=0,"",VLOOKUP($A200,'Pre-Assessment Estimator'!$A$10:$Z$224,Y$2,FALSE))</f>
        <v/>
      </c>
      <c r="Z200" s="705"/>
      <c r="AA200" s="584"/>
      <c r="AE200" s="386">
        <f t="shared" si="2"/>
        <v>2</v>
      </c>
      <c r="AF200" s="95" t="e">
        <f>VLOOKUP(J200,'Assessment Details'!$O$45:$P$48,2,FALSE)</f>
        <v>#N/A</v>
      </c>
      <c r="AG200" s="95" t="e">
        <f>VLOOKUP(Q200,'Assessment Details'!$O$45:$P$48,2,FALSE)</f>
        <v>#N/A</v>
      </c>
      <c r="AH200" s="95" t="e">
        <f>VLOOKUP(X200,'Assessment Details'!$O$45:$P$48,2,FALSE)</f>
        <v>#N/A</v>
      </c>
    </row>
    <row r="201" spans="1:34" x14ac:dyDescent="0.25">
      <c r="A201" s="836">
        <v>192</v>
      </c>
      <c r="B201" s="1262"/>
      <c r="C201" s="1262"/>
      <c r="D201" s="993" t="str">
        <f>VLOOKUP($A201,'Pre-Assessment Estimator'!$A$10:$Z$224,D$2,FALSE)</f>
        <v>POL 04 Reduction of night time light pollution</v>
      </c>
      <c r="E201" s="581">
        <f>VLOOKUP($A201,'Pre-Assessment Estimator'!$A$10:$Z$224,E$2,FALSE)</f>
        <v>1</v>
      </c>
      <c r="F201" s="587" t="str">
        <f>IF(VLOOKUP($A201,'Pre-Assessment Estimator'!$A$10:$Z$224,F$2,FALSE)=0,"",VLOOKUP($A201,'Pre-Assessment Estimator'!$A$10:$Z$224,F$2,FALSE))</f>
        <v/>
      </c>
      <c r="G201" s="1239" t="str">
        <f>VLOOKUP($A201,'Pre-Assessment Estimator'!$A$10:$Z$224,G$2,FALSE)</f>
        <v>0 c. 0 %</v>
      </c>
      <c r="H201" s="583" t="str">
        <f>VLOOKUP($A201,'Pre-Assessment Estimator'!$A$10:$Z$224,H$2,FALSE)</f>
        <v>N/A</v>
      </c>
      <c r="I201" s="584" t="str">
        <f>IF(VLOOKUP($A201,'Pre-Assessment Estimator'!$A$10:$Z$224,I$2,FALSE)=0,"",VLOOKUP($A201,'Pre-Assessment Estimator'!$A$10:$Z$224,I$2,FALSE))</f>
        <v/>
      </c>
      <c r="J201" s="584" t="str">
        <f>IF(VLOOKUP($A201,'Pre-Assessment Estimator'!$A$10:$Z$224,J$2,FALSE)=0,"",VLOOKUP($A201,'Pre-Assessment Estimator'!$A$10:$Z$224,J$2,FALSE))</f>
        <v/>
      </c>
      <c r="K201" s="585" t="str">
        <f>IF(VLOOKUP($A201,'Pre-Assessment Estimator'!$A$10:$Z$224,K$2,FALSE)=0,"",VLOOKUP($A201,'Pre-Assessment Estimator'!$A$10:$Z$224,K$2,FALSE))</f>
        <v/>
      </c>
      <c r="L201" s="586"/>
      <c r="M201" s="587" t="str">
        <f>IF(VLOOKUP($A201,'Pre-Assessment Estimator'!$A$10:$Z$224,M$2,FALSE)=0,"",VLOOKUP($A201,'Pre-Assessment Estimator'!$A$10:$Z$224,M$2,FALSE))</f>
        <v/>
      </c>
      <c r="N201" s="582" t="str">
        <f>VLOOKUP($A201,'Pre-Assessment Estimator'!$A$10:$Z$224,N$2,FALSE)</f>
        <v>0 c. 0 %</v>
      </c>
      <c r="O201" s="581" t="str">
        <f>VLOOKUP($A201,'Pre-Assessment Estimator'!$A$10:$Z$224,O$2,FALSE)</f>
        <v>N/A</v>
      </c>
      <c r="P201" s="584" t="str">
        <f>IF(VLOOKUP($A201,'Pre-Assessment Estimator'!$A$10:$Z$224,P$2,FALSE)=0,"",VLOOKUP($A201,'Pre-Assessment Estimator'!$A$10:$Z$224,P$2,FALSE))</f>
        <v/>
      </c>
      <c r="Q201" s="584" t="str">
        <f>IF(VLOOKUP($A201,'Pre-Assessment Estimator'!$A$10:$Z$224,Q$2,FALSE)=0,"",VLOOKUP($A201,'Pre-Assessment Estimator'!$A$10:$Z$224,Q$2,FALSE))</f>
        <v/>
      </c>
      <c r="R201" s="585" t="str">
        <f>IF(VLOOKUP($A201,'Pre-Assessment Estimator'!$A$10:$Z$224,R$2,FALSE)=0,"",VLOOKUP($A201,'Pre-Assessment Estimator'!$A$10:$Z$224,R$2,FALSE))</f>
        <v/>
      </c>
      <c r="S201" s="588"/>
      <c r="T201" s="587" t="str">
        <f>IF(VLOOKUP($A201,'Pre-Assessment Estimator'!$A$10:$Z$224,T$2,FALSE)=0,"",VLOOKUP($A201,'Pre-Assessment Estimator'!$A$10:$Z$224,T$2,FALSE))</f>
        <v/>
      </c>
      <c r="U201" s="582" t="str">
        <f>VLOOKUP($A201,'Pre-Assessment Estimator'!$A$10:$Z$224,U$2,FALSE)</f>
        <v>0 c. 0 %</v>
      </c>
      <c r="V201" s="581" t="str">
        <f>VLOOKUP($A201,'Pre-Assessment Estimator'!$A$10:$Z$224,V$2,FALSE)</f>
        <v>N/A</v>
      </c>
      <c r="W201" s="584" t="str">
        <f>IF(VLOOKUP($A201,'Pre-Assessment Estimator'!$A$10:$Z$224,W$2,FALSE)=0,"",VLOOKUP($A201,'Pre-Assessment Estimator'!$A$10:$Z$224,W$2,FALSE))</f>
        <v/>
      </c>
      <c r="X201" s="584" t="str">
        <f>IF(VLOOKUP($A201,'Pre-Assessment Estimator'!$A$10:$Z$224,X$2,FALSE)=0,"",VLOOKUP($A201,'Pre-Assessment Estimator'!$A$10:$Z$224,X$2,FALSE))</f>
        <v/>
      </c>
      <c r="Y201" s="370" t="str">
        <f>IF(VLOOKUP($A201,'Pre-Assessment Estimator'!$A$10:$Z$224,Y$2,FALSE)=0,"",VLOOKUP($A201,'Pre-Assessment Estimator'!$A$10:$Z$224,Y$2,FALSE))</f>
        <v/>
      </c>
      <c r="Z201" s="705"/>
      <c r="AA201" s="584"/>
      <c r="AE201" s="386">
        <f t="shared" si="2"/>
        <v>1</v>
      </c>
      <c r="AF201" s="95" t="e">
        <f>VLOOKUP(J201,'Assessment Details'!$O$45:$P$48,2,FALSE)</f>
        <v>#N/A</v>
      </c>
      <c r="AG201" s="95" t="e">
        <f>VLOOKUP(Q201,'Assessment Details'!$O$45:$P$48,2,FALSE)</f>
        <v>#N/A</v>
      </c>
      <c r="AH201" s="95" t="e">
        <f>VLOOKUP(X201,'Assessment Details'!$O$45:$P$48,2,FALSE)</f>
        <v>#N/A</v>
      </c>
    </row>
    <row r="202" spans="1:34" x14ac:dyDescent="0.25">
      <c r="A202" s="836">
        <v>193</v>
      </c>
      <c r="B202" s="1262"/>
      <c r="C202" s="1262"/>
      <c r="D202" s="340" t="str">
        <f>VLOOKUP($A202,'Pre-Assessment Estimator'!$A$10:$Z$224,D$2,FALSE)</f>
        <v xml:space="preserve">No external lighting pollution </v>
      </c>
      <c r="E202" s="581">
        <f>VLOOKUP($A202,'Pre-Assessment Estimator'!$A$10:$Z$224,E$2,FALSE)</f>
        <v>1</v>
      </c>
      <c r="F202" s="587" t="str">
        <f>IF(VLOOKUP($A202,'Pre-Assessment Estimator'!$A$10:$Z$224,F$2,FALSE)=0,"",VLOOKUP($A202,'Pre-Assessment Estimator'!$A$10:$Z$224,F$2,FALSE))</f>
        <v/>
      </c>
      <c r="G202" s="1239">
        <f>VLOOKUP($A202,'Pre-Assessment Estimator'!$A$10:$Z$224,G$2,FALSE)</f>
        <v>0</v>
      </c>
      <c r="H202" s="583" t="str">
        <f>VLOOKUP($A202,'Pre-Assessment Estimator'!$A$10:$Z$224,H$2,FALSE)</f>
        <v>N/A</v>
      </c>
      <c r="I202" s="584" t="str">
        <f>IF(VLOOKUP($A202,'Pre-Assessment Estimator'!$A$10:$Z$224,I$2,FALSE)=0,"",VLOOKUP($A202,'Pre-Assessment Estimator'!$A$10:$Z$224,I$2,FALSE))</f>
        <v/>
      </c>
      <c r="J202" s="584" t="str">
        <f>IF(VLOOKUP($A202,'Pre-Assessment Estimator'!$A$10:$Z$224,J$2,FALSE)=0,"",VLOOKUP($A202,'Pre-Assessment Estimator'!$A$10:$Z$224,J$2,FALSE))</f>
        <v/>
      </c>
      <c r="K202" s="585" t="str">
        <f>IF(VLOOKUP($A202,'Pre-Assessment Estimator'!$A$10:$Z$224,K$2,FALSE)=0,"",VLOOKUP($A202,'Pre-Assessment Estimator'!$A$10:$Z$224,K$2,FALSE))</f>
        <v/>
      </c>
      <c r="L202" s="586"/>
      <c r="M202" s="587" t="str">
        <f>IF(VLOOKUP($A202,'Pre-Assessment Estimator'!$A$10:$Z$224,M$2,FALSE)=0,"",VLOOKUP($A202,'Pre-Assessment Estimator'!$A$10:$Z$224,M$2,FALSE))</f>
        <v/>
      </c>
      <c r="N202" s="582">
        <f>VLOOKUP($A202,'Pre-Assessment Estimator'!$A$10:$Z$224,N$2,FALSE)</f>
        <v>0</v>
      </c>
      <c r="O202" s="581" t="str">
        <f>VLOOKUP($A202,'Pre-Assessment Estimator'!$A$10:$Z$224,O$2,FALSE)</f>
        <v>N/A</v>
      </c>
      <c r="P202" s="584" t="str">
        <f>IF(VLOOKUP($A202,'Pre-Assessment Estimator'!$A$10:$Z$224,P$2,FALSE)=0,"",VLOOKUP($A202,'Pre-Assessment Estimator'!$A$10:$Z$224,P$2,FALSE))</f>
        <v/>
      </c>
      <c r="Q202" s="584" t="str">
        <f>IF(VLOOKUP($A202,'Pre-Assessment Estimator'!$A$10:$Z$224,Q$2,FALSE)=0,"",VLOOKUP($A202,'Pre-Assessment Estimator'!$A$10:$Z$224,Q$2,FALSE))</f>
        <v/>
      </c>
      <c r="R202" s="585" t="str">
        <f>IF(VLOOKUP($A202,'Pre-Assessment Estimator'!$A$10:$Z$224,R$2,FALSE)=0,"",VLOOKUP($A202,'Pre-Assessment Estimator'!$A$10:$Z$224,R$2,FALSE))</f>
        <v/>
      </c>
      <c r="S202" s="588"/>
      <c r="T202" s="587" t="str">
        <f>IF(VLOOKUP($A202,'Pre-Assessment Estimator'!$A$10:$Z$224,T$2,FALSE)=0,"",VLOOKUP($A202,'Pre-Assessment Estimator'!$A$10:$Z$224,T$2,FALSE))</f>
        <v/>
      </c>
      <c r="U202" s="582">
        <f>VLOOKUP($A202,'Pre-Assessment Estimator'!$A$10:$Z$224,U$2,FALSE)</f>
        <v>0</v>
      </c>
      <c r="V202" s="581" t="str">
        <f>VLOOKUP($A202,'Pre-Assessment Estimator'!$A$10:$Z$224,V$2,FALSE)</f>
        <v>N/A</v>
      </c>
      <c r="W202" s="584" t="str">
        <f>IF(VLOOKUP($A202,'Pre-Assessment Estimator'!$A$10:$Z$224,W$2,FALSE)=0,"",VLOOKUP($A202,'Pre-Assessment Estimator'!$A$10:$Z$224,W$2,FALSE))</f>
        <v/>
      </c>
      <c r="X202" s="584" t="str">
        <f>IF(VLOOKUP($A202,'Pre-Assessment Estimator'!$A$10:$Z$224,X$2,FALSE)=0,"",VLOOKUP($A202,'Pre-Assessment Estimator'!$A$10:$Z$224,X$2,FALSE))</f>
        <v/>
      </c>
      <c r="Y202" s="370" t="str">
        <f>IF(VLOOKUP($A202,'Pre-Assessment Estimator'!$A$10:$Z$224,Y$2,FALSE)=0,"",VLOOKUP($A202,'Pre-Assessment Estimator'!$A$10:$Z$224,Y$2,FALSE))</f>
        <v/>
      </c>
      <c r="Z202" s="705"/>
      <c r="AA202" s="584"/>
      <c r="AE202" s="386">
        <f t="shared" si="2"/>
        <v>1</v>
      </c>
      <c r="AF202" s="95" t="e">
        <f>VLOOKUP(J202,'Assessment Details'!$O$45:$P$48,2,FALSE)</f>
        <v>#N/A</v>
      </c>
      <c r="AG202" s="95" t="e">
        <f>VLOOKUP(Q202,'Assessment Details'!$O$45:$P$48,2,FALSE)</f>
        <v>#N/A</v>
      </c>
      <c r="AH202" s="95" t="e">
        <f>VLOOKUP(X202,'Assessment Details'!$O$45:$P$48,2,FALSE)</f>
        <v>#N/A</v>
      </c>
    </row>
    <row r="203" spans="1:34" x14ac:dyDescent="0.25">
      <c r="A203" s="836">
        <v>194</v>
      </c>
      <c r="B203" s="1262"/>
      <c r="C203" s="1262"/>
      <c r="D203" s="340" t="str">
        <f>VLOOKUP($A203,'Pre-Assessment Estimator'!$A$10:$Z$224,D$2,FALSE)</f>
        <v>Minimizing external light pollution</v>
      </c>
      <c r="E203" s="581">
        <f>VLOOKUP($A203,'Pre-Assessment Estimator'!$A$10:$Z$224,E$2,FALSE)</f>
        <v>0</v>
      </c>
      <c r="F203" s="587" t="str">
        <f>IF(VLOOKUP($A203,'Pre-Assessment Estimator'!$A$10:$Z$224,F$2,FALSE)=0,"",VLOOKUP($A203,'Pre-Assessment Estimator'!$A$10:$Z$224,F$2,FALSE))</f>
        <v/>
      </c>
      <c r="G203" s="1239">
        <f>VLOOKUP($A203,'Pre-Assessment Estimator'!$A$10:$Z$224,G$2,FALSE)</f>
        <v>0</v>
      </c>
      <c r="H203" s="583" t="str">
        <f>VLOOKUP($A203,'Pre-Assessment Estimator'!$A$10:$Z$224,H$2,FALSE)</f>
        <v>N/A</v>
      </c>
      <c r="I203" s="584" t="str">
        <f>IF(VLOOKUP($A203,'Pre-Assessment Estimator'!$A$10:$Z$224,I$2,FALSE)=0,"",VLOOKUP($A203,'Pre-Assessment Estimator'!$A$10:$Z$224,I$2,FALSE))</f>
        <v/>
      </c>
      <c r="J203" s="584" t="str">
        <f>IF(VLOOKUP($A203,'Pre-Assessment Estimator'!$A$10:$Z$224,J$2,FALSE)=0,"",VLOOKUP($A203,'Pre-Assessment Estimator'!$A$10:$Z$224,J$2,FALSE))</f>
        <v/>
      </c>
      <c r="K203" s="585" t="str">
        <f>IF(VLOOKUP($A203,'Pre-Assessment Estimator'!$A$10:$Z$224,K$2,FALSE)=0,"",VLOOKUP($A203,'Pre-Assessment Estimator'!$A$10:$Z$224,K$2,FALSE))</f>
        <v/>
      </c>
      <c r="L203" s="586"/>
      <c r="M203" s="587" t="str">
        <f>IF(VLOOKUP($A203,'Pre-Assessment Estimator'!$A$10:$Z$224,M$2,FALSE)=0,"",VLOOKUP($A203,'Pre-Assessment Estimator'!$A$10:$Z$224,M$2,FALSE))</f>
        <v/>
      </c>
      <c r="N203" s="582">
        <f>VLOOKUP($A203,'Pre-Assessment Estimator'!$A$10:$Z$224,N$2,FALSE)</f>
        <v>0</v>
      </c>
      <c r="O203" s="581" t="str">
        <f>VLOOKUP($A203,'Pre-Assessment Estimator'!$A$10:$Z$224,O$2,FALSE)</f>
        <v>N/A</v>
      </c>
      <c r="P203" s="584" t="str">
        <f>IF(VLOOKUP($A203,'Pre-Assessment Estimator'!$A$10:$Z$224,P$2,FALSE)=0,"",VLOOKUP($A203,'Pre-Assessment Estimator'!$A$10:$Z$224,P$2,FALSE))</f>
        <v/>
      </c>
      <c r="Q203" s="584" t="str">
        <f>IF(VLOOKUP($A203,'Pre-Assessment Estimator'!$A$10:$Z$224,Q$2,FALSE)=0,"",VLOOKUP($A203,'Pre-Assessment Estimator'!$A$10:$Z$224,Q$2,FALSE))</f>
        <v/>
      </c>
      <c r="R203" s="585" t="str">
        <f>IF(VLOOKUP($A203,'Pre-Assessment Estimator'!$A$10:$Z$224,R$2,FALSE)=0,"",VLOOKUP($A203,'Pre-Assessment Estimator'!$A$10:$Z$224,R$2,FALSE))</f>
        <v/>
      </c>
      <c r="S203" s="588"/>
      <c r="T203" s="587" t="str">
        <f>IF(VLOOKUP($A203,'Pre-Assessment Estimator'!$A$10:$Z$224,T$2,FALSE)=0,"",VLOOKUP($A203,'Pre-Assessment Estimator'!$A$10:$Z$224,T$2,FALSE))</f>
        <v/>
      </c>
      <c r="U203" s="582">
        <f>VLOOKUP($A203,'Pre-Assessment Estimator'!$A$10:$Z$224,U$2,FALSE)</f>
        <v>0</v>
      </c>
      <c r="V203" s="581" t="str">
        <f>VLOOKUP($A203,'Pre-Assessment Estimator'!$A$10:$Z$224,V$2,FALSE)</f>
        <v>N/A</v>
      </c>
      <c r="W203" s="584" t="str">
        <f>IF(VLOOKUP($A203,'Pre-Assessment Estimator'!$A$10:$Z$224,W$2,FALSE)=0,"",VLOOKUP($A203,'Pre-Assessment Estimator'!$A$10:$Z$224,W$2,FALSE))</f>
        <v/>
      </c>
      <c r="X203" s="584" t="str">
        <f>IF(VLOOKUP($A203,'Pre-Assessment Estimator'!$A$10:$Z$224,X$2,FALSE)=0,"",VLOOKUP($A203,'Pre-Assessment Estimator'!$A$10:$Z$224,X$2,FALSE))</f>
        <v/>
      </c>
      <c r="Y203" s="370" t="str">
        <f>IF(VLOOKUP($A203,'Pre-Assessment Estimator'!$A$10:$Z$224,Y$2,FALSE)=0,"",VLOOKUP($A203,'Pre-Assessment Estimator'!$A$10:$Z$224,Y$2,FALSE))</f>
        <v/>
      </c>
      <c r="Z203" s="705"/>
      <c r="AA203" s="584"/>
      <c r="AE203" s="386">
        <f t="shared" si="2"/>
        <v>2</v>
      </c>
      <c r="AF203" s="95" t="e">
        <f>VLOOKUP(J203,'Assessment Details'!$O$45:$P$48,2,FALSE)</f>
        <v>#N/A</v>
      </c>
      <c r="AG203" s="95" t="e">
        <f>VLOOKUP(Q203,'Assessment Details'!$O$45:$P$48,2,FALSE)</f>
        <v>#N/A</v>
      </c>
      <c r="AH203" s="95" t="e">
        <f>VLOOKUP(X203,'Assessment Details'!$O$45:$P$48,2,FALSE)</f>
        <v>#N/A</v>
      </c>
    </row>
    <row r="204" spans="1:34" ht="15.75" thickBot="1" x14ac:dyDescent="0.3">
      <c r="A204" s="836">
        <v>195</v>
      </c>
      <c r="B204" s="1262" t="s">
        <v>73</v>
      </c>
      <c r="C204" s="1262"/>
      <c r="D204" s="993" t="str">
        <f>VLOOKUP($A204,'Pre-Assessment Estimator'!$A$10:$Z$224,D$2,FALSE)</f>
        <v>POL 05 Reduction of noise pollution</v>
      </c>
      <c r="E204" s="581">
        <f>VLOOKUP($A204,'Pre-Assessment Estimator'!$A$10:$Z$224,E$2,FALSE)</f>
        <v>1</v>
      </c>
      <c r="F204" s="587" t="str">
        <f>IF(VLOOKUP($A204,'Pre-Assessment Estimator'!$A$10:$Z$224,F$2,FALSE)=0,"",VLOOKUP($A204,'Pre-Assessment Estimator'!$A$10:$Z$224,F$2,FALSE))</f>
        <v/>
      </c>
      <c r="G204" s="1239" t="str">
        <f>VLOOKUP($A204,'Pre-Assessment Estimator'!$A$10:$Z$224,G$2,FALSE)</f>
        <v>0 c. 0 %</v>
      </c>
      <c r="H204" s="583" t="str">
        <f>VLOOKUP($A204,'Pre-Assessment Estimator'!$A$10:$Z$224,H$2,FALSE)</f>
        <v>N/A</v>
      </c>
      <c r="I204" s="584" t="str">
        <f>IF(VLOOKUP($A204,'Pre-Assessment Estimator'!$A$10:$Z$224,I$2,FALSE)=0,"",VLOOKUP($A204,'Pre-Assessment Estimator'!$A$10:$Z$224,I$2,FALSE))</f>
        <v/>
      </c>
      <c r="J204" s="584" t="str">
        <f>IF(VLOOKUP($A204,'Pre-Assessment Estimator'!$A$10:$Z$224,J$2,FALSE)=0,"",VLOOKUP($A204,'Pre-Assessment Estimator'!$A$10:$Z$224,J$2,FALSE))</f>
        <v/>
      </c>
      <c r="K204" s="585" t="str">
        <f>IF(VLOOKUP($A204,'Pre-Assessment Estimator'!$A$10:$Z$224,K$2,FALSE)=0,"",VLOOKUP($A204,'Pre-Assessment Estimator'!$A$10:$Z$224,K$2,FALSE))</f>
        <v/>
      </c>
      <c r="L204" s="586"/>
      <c r="M204" s="587" t="str">
        <f>IF(VLOOKUP($A204,'Pre-Assessment Estimator'!$A$10:$Z$224,M$2,FALSE)=0,"",VLOOKUP($A204,'Pre-Assessment Estimator'!$A$10:$Z$224,M$2,FALSE))</f>
        <v/>
      </c>
      <c r="N204" s="582" t="str">
        <f>VLOOKUP($A204,'Pre-Assessment Estimator'!$A$10:$Z$224,N$2,FALSE)</f>
        <v>0 c. 0 %</v>
      </c>
      <c r="O204" s="581" t="str">
        <f>VLOOKUP($A204,'Pre-Assessment Estimator'!$A$10:$Z$224,O$2,FALSE)</f>
        <v>N/A</v>
      </c>
      <c r="P204" s="584" t="str">
        <f>IF(VLOOKUP($A204,'Pre-Assessment Estimator'!$A$10:$Z$224,P$2,FALSE)=0,"",VLOOKUP($A204,'Pre-Assessment Estimator'!$A$10:$Z$224,P$2,FALSE))</f>
        <v/>
      </c>
      <c r="Q204" s="584" t="str">
        <f>IF(VLOOKUP($A204,'Pre-Assessment Estimator'!$A$10:$Z$224,Q$2,FALSE)=0,"",VLOOKUP($A204,'Pre-Assessment Estimator'!$A$10:$Z$224,Q$2,FALSE))</f>
        <v/>
      </c>
      <c r="R204" s="585" t="str">
        <f>IF(VLOOKUP($A204,'Pre-Assessment Estimator'!$A$10:$Z$224,R$2,FALSE)=0,"",VLOOKUP($A204,'Pre-Assessment Estimator'!$A$10:$Z$224,R$2,FALSE))</f>
        <v/>
      </c>
      <c r="S204" s="588"/>
      <c r="T204" s="587" t="str">
        <f>IF(VLOOKUP($A204,'Pre-Assessment Estimator'!$A$10:$Z$224,T$2,FALSE)=0,"",VLOOKUP($A204,'Pre-Assessment Estimator'!$A$10:$Z$224,T$2,FALSE))</f>
        <v/>
      </c>
      <c r="U204" s="582" t="str">
        <f>VLOOKUP($A204,'Pre-Assessment Estimator'!$A$10:$Z$224,U$2,FALSE)</f>
        <v>0 c. 0 %</v>
      </c>
      <c r="V204" s="581" t="str">
        <f>VLOOKUP($A204,'Pre-Assessment Estimator'!$A$10:$Z$224,V$2,FALSE)</f>
        <v>N/A</v>
      </c>
      <c r="W204" s="584" t="str">
        <f>IF(VLOOKUP($A204,'Pre-Assessment Estimator'!$A$10:$Z$224,W$2,FALSE)=0,"",VLOOKUP($A204,'Pre-Assessment Estimator'!$A$10:$Z$224,W$2,FALSE))</f>
        <v/>
      </c>
      <c r="X204" s="584" t="str">
        <f>IF(VLOOKUP($A204,'Pre-Assessment Estimator'!$A$10:$Z$224,X$2,FALSE)=0,"",VLOOKUP($A204,'Pre-Assessment Estimator'!$A$10:$Z$224,X$2,FALSE))</f>
        <v/>
      </c>
      <c r="Y204" s="370" t="str">
        <f>IF(VLOOKUP($A204,'Pre-Assessment Estimator'!$A$10:$Z$224,Y$2,FALSE)=0,"",VLOOKUP($A204,'Pre-Assessment Estimator'!$A$10:$Z$224,Y$2,FALSE))</f>
        <v/>
      </c>
      <c r="Z204" s="705"/>
      <c r="AA204" s="584" t="str">
        <f>IF(VLOOKUP($A204,'Pre-Assessment Estimator'!$A$10:$AB$224,AA$2,FALSE)=0,"",VLOOKUP($A204,'Pre-Assessment Estimator'!$A$10:$AB$224,AA$2,FALSE))</f>
        <v/>
      </c>
      <c r="AE204" s="386">
        <f t="shared" si="2"/>
        <v>1</v>
      </c>
      <c r="AF204" s="276">
        <v>0</v>
      </c>
      <c r="AG204" s="276">
        <v>0</v>
      </c>
      <c r="AH204" s="276">
        <v>0</v>
      </c>
    </row>
    <row r="205" spans="1:34" x14ac:dyDescent="0.25">
      <c r="A205" s="836">
        <v>196</v>
      </c>
      <c r="B205" s="1262" t="s">
        <v>73</v>
      </c>
      <c r="C205" s="1262"/>
      <c r="D205" s="340" t="str">
        <f>VLOOKUP($A205,'Pre-Assessment Estimator'!$A$10:$Z$224,D$2,FALSE)</f>
        <v>No noise-sensitive areas</v>
      </c>
      <c r="E205" s="581">
        <f>VLOOKUP($A205,'Pre-Assessment Estimator'!$A$10:$Z$224,E$2,FALSE)</f>
        <v>1</v>
      </c>
      <c r="F205" s="587" t="str">
        <f>IF(VLOOKUP($A205,'Pre-Assessment Estimator'!$A$10:$Z$224,F$2,FALSE)=0,"",VLOOKUP($A205,'Pre-Assessment Estimator'!$A$10:$Z$224,F$2,FALSE))</f>
        <v/>
      </c>
      <c r="G205" s="1239">
        <f>VLOOKUP($A205,'Pre-Assessment Estimator'!$A$10:$Z$224,G$2,FALSE)</f>
        <v>0</v>
      </c>
      <c r="H205" s="583" t="str">
        <f>VLOOKUP($A205,'Pre-Assessment Estimator'!$A$10:$Z$224,H$2,FALSE)</f>
        <v>N/A</v>
      </c>
      <c r="I205" s="584" t="str">
        <f>IF(VLOOKUP($A205,'Pre-Assessment Estimator'!$A$10:$Z$224,I$2,FALSE)=0,"",VLOOKUP($A205,'Pre-Assessment Estimator'!$A$10:$Z$224,I$2,FALSE))</f>
        <v/>
      </c>
      <c r="J205" s="584" t="str">
        <f>IF(VLOOKUP($A205,'Pre-Assessment Estimator'!$A$10:$Z$224,J$2,FALSE)=0,"",VLOOKUP($A205,'Pre-Assessment Estimator'!$A$10:$Z$224,J$2,FALSE))</f>
        <v/>
      </c>
      <c r="K205" s="585" t="str">
        <f>IF(VLOOKUP($A205,'Pre-Assessment Estimator'!$A$10:$Z$224,K$2,FALSE)=0,"",VLOOKUP($A205,'Pre-Assessment Estimator'!$A$10:$Z$224,K$2,FALSE))</f>
        <v/>
      </c>
      <c r="L205" s="586"/>
      <c r="M205" s="587" t="str">
        <f>IF(VLOOKUP($A205,'Pre-Assessment Estimator'!$A$10:$Z$224,M$2,FALSE)=0,"",VLOOKUP($A205,'Pre-Assessment Estimator'!$A$10:$Z$224,M$2,FALSE))</f>
        <v/>
      </c>
      <c r="N205" s="582">
        <f>VLOOKUP($A205,'Pre-Assessment Estimator'!$A$10:$Z$224,N$2,FALSE)</f>
        <v>0</v>
      </c>
      <c r="O205" s="581" t="str">
        <f>VLOOKUP($A205,'Pre-Assessment Estimator'!$A$10:$Z$224,O$2,FALSE)</f>
        <v>N/A</v>
      </c>
      <c r="P205" s="584" t="str">
        <f>IF(VLOOKUP($A205,'Pre-Assessment Estimator'!$A$10:$Z$224,P$2,FALSE)=0,"",VLOOKUP($A205,'Pre-Assessment Estimator'!$A$10:$Z$224,P$2,FALSE))</f>
        <v/>
      </c>
      <c r="Q205" s="584" t="str">
        <f>IF(VLOOKUP($A205,'Pre-Assessment Estimator'!$A$10:$Z$224,Q$2,FALSE)=0,"",VLOOKUP($A205,'Pre-Assessment Estimator'!$A$10:$Z$224,Q$2,FALSE))</f>
        <v/>
      </c>
      <c r="R205" s="585" t="str">
        <f>IF(VLOOKUP($A205,'Pre-Assessment Estimator'!$A$10:$Z$224,R$2,FALSE)=0,"",VLOOKUP($A205,'Pre-Assessment Estimator'!$A$10:$Z$224,R$2,FALSE))</f>
        <v/>
      </c>
      <c r="S205" s="588"/>
      <c r="T205" s="587" t="str">
        <f>IF(VLOOKUP($A205,'Pre-Assessment Estimator'!$A$10:$Z$224,T$2,FALSE)=0,"",VLOOKUP($A205,'Pre-Assessment Estimator'!$A$10:$Z$224,T$2,FALSE))</f>
        <v/>
      </c>
      <c r="U205" s="582">
        <f>VLOOKUP($A205,'Pre-Assessment Estimator'!$A$10:$Z$224,U$2,FALSE)</f>
        <v>0</v>
      </c>
      <c r="V205" s="581" t="str">
        <f>VLOOKUP($A205,'Pre-Assessment Estimator'!$A$10:$Z$224,V$2,FALSE)</f>
        <v>N/A</v>
      </c>
      <c r="W205" s="584" t="str">
        <f>IF(VLOOKUP($A205,'Pre-Assessment Estimator'!$A$10:$Z$224,W$2,FALSE)=0,"",VLOOKUP($A205,'Pre-Assessment Estimator'!$A$10:$Z$224,W$2,FALSE))</f>
        <v/>
      </c>
      <c r="X205" s="584" t="str">
        <f>IF(VLOOKUP($A205,'Pre-Assessment Estimator'!$A$10:$Z$224,X$2,FALSE)=0,"",VLOOKUP($A205,'Pre-Assessment Estimator'!$A$10:$Z$224,X$2,FALSE))</f>
        <v/>
      </c>
      <c r="Y205" s="370" t="str">
        <f>IF(VLOOKUP($A205,'Pre-Assessment Estimator'!$A$10:$Z$224,Y$2,FALSE)=0,"",VLOOKUP($A205,'Pre-Assessment Estimator'!$A$10:$Z$224,Y$2,FALSE))</f>
        <v/>
      </c>
      <c r="Z205" s="706"/>
      <c r="AA205" s="592"/>
      <c r="AB205" s="389"/>
      <c r="AC205" s="389"/>
      <c r="AD205" s="389"/>
      <c r="AE205" s="386">
        <f t="shared" si="2"/>
        <v>1</v>
      </c>
      <c r="AF205" s="278">
        <v>0</v>
      </c>
      <c r="AG205" s="278">
        <v>0</v>
      </c>
      <c r="AH205" s="278">
        <v>0</v>
      </c>
    </row>
    <row r="206" spans="1:34" x14ac:dyDescent="0.25">
      <c r="A206" s="836">
        <v>197</v>
      </c>
      <c r="B206" s="1262" t="s">
        <v>219</v>
      </c>
      <c r="C206" s="1262"/>
      <c r="D206" s="340" t="str">
        <f>VLOOKUP($A206,'Pre-Assessment Estimator'!$A$10:$Z$224,D$2,FALSE)</f>
        <v>Minimizing noise pollution in noise-sensitive areas</v>
      </c>
      <c r="E206" s="581">
        <f>VLOOKUP($A206,'Pre-Assessment Estimator'!$A$10:$Z$224,E$2,FALSE)</f>
        <v>0</v>
      </c>
      <c r="F206" s="587" t="str">
        <f>IF(VLOOKUP($A206,'Pre-Assessment Estimator'!$A$10:$Z$224,F$2,FALSE)=0,"",VLOOKUP($A206,'Pre-Assessment Estimator'!$A$10:$Z$224,F$2,FALSE))</f>
        <v/>
      </c>
      <c r="G206" s="1239">
        <f>VLOOKUP($A206,'Pre-Assessment Estimator'!$A$10:$Z$224,G$2,FALSE)</f>
        <v>0</v>
      </c>
      <c r="H206" s="583" t="str">
        <f>VLOOKUP($A206,'Pre-Assessment Estimator'!$A$10:$Z$224,H$2,FALSE)</f>
        <v>N/A</v>
      </c>
      <c r="I206" s="584" t="str">
        <f>IF(VLOOKUP($A206,'Pre-Assessment Estimator'!$A$10:$Z$224,I$2,FALSE)=0,"",VLOOKUP($A206,'Pre-Assessment Estimator'!$A$10:$Z$224,I$2,FALSE))</f>
        <v/>
      </c>
      <c r="J206" s="584" t="str">
        <f>IF(VLOOKUP($A206,'Pre-Assessment Estimator'!$A$10:$Z$224,J$2,FALSE)=0,"",VLOOKUP($A206,'Pre-Assessment Estimator'!$A$10:$Z$224,J$2,FALSE))</f>
        <v/>
      </c>
      <c r="K206" s="585" t="str">
        <f>IF(VLOOKUP($A206,'Pre-Assessment Estimator'!$A$10:$Z$224,K$2,FALSE)=0,"",VLOOKUP($A206,'Pre-Assessment Estimator'!$A$10:$Z$224,K$2,FALSE))</f>
        <v/>
      </c>
      <c r="L206" s="586"/>
      <c r="M206" s="587" t="str">
        <f>IF(VLOOKUP($A206,'Pre-Assessment Estimator'!$A$10:$Z$224,M$2,FALSE)=0,"",VLOOKUP($A206,'Pre-Assessment Estimator'!$A$10:$Z$224,M$2,FALSE))</f>
        <v/>
      </c>
      <c r="N206" s="582">
        <f>VLOOKUP($A206,'Pre-Assessment Estimator'!$A$10:$Z$224,N$2,FALSE)</f>
        <v>0</v>
      </c>
      <c r="O206" s="581" t="str">
        <f>VLOOKUP($A206,'Pre-Assessment Estimator'!$A$10:$Z$224,O$2,FALSE)</f>
        <v>N/A</v>
      </c>
      <c r="P206" s="584" t="str">
        <f>IF(VLOOKUP($A206,'Pre-Assessment Estimator'!$A$10:$Z$224,P$2,FALSE)=0,"",VLOOKUP($A206,'Pre-Assessment Estimator'!$A$10:$Z$224,P$2,FALSE))</f>
        <v/>
      </c>
      <c r="Q206" s="584" t="str">
        <f>IF(VLOOKUP($A206,'Pre-Assessment Estimator'!$A$10:$Z$224,Q$2,FALSE)=0,"",VLOOKUP($A206,'Pre-Assessment Estimator'!$A$10:$Z$224,Q$2,FALSE))</f>
        <v/>
      </c>
      <c r="R206" s="585" t="str">
        <f>IF(VLOOKUP($A206,'Pre-Assessment Estimator'!$A$10:$Z$224,R$2,FALSE)=0,"",VLOOKUP($A206,'Pre-Assessment Estimator'!$A$10:$Z$224,R$2,FALSE))</f>
        <v/>
      </c>
      <c r="S206" s="588"/>
      <c r="T206" s="587" t="str">
        <f>IF(VLOOKUP($A206,'Pre-Assessment Estimator'!$A$10:$Z$224,T$2,FALSE)=0,"",VLOOKUP($A206,'Pre-Assessment Estimator'!$A$10:$Z$224,T$2,FALSE))</f>
        <v/>
      </c>
      <c r="U206" s="582">
        <f>VLOOKUP($A206,'Pre-Assessment Estimator'!$A$10:$Z$224,U$2,FALSE)</f>
        <v>0</v>
      </c>
      <c r="V206" s="581" t="str">
        <f>VLOOKUP($A206,'Pre-Assessment Estimator'!$A$10:$Z$224,V$2,FALSE)</f>
        <v>N/A</v>
      </c>
      <c r="W206" s="584" t="str">
        <f>IF(VLOOKUP($A206,'Pre-Assessment Estimator'!$A$10:$Z$224,W$2,FALSE)=0,"",VLOOKUP($A206,'Pre-Assessment Estimator'!$A$10:$Z$224,W$2,FALSE))</f>
        <v/>
      </c>
      <c r="X206" s="584" t="str">
        <f>IF(VLOOKUP($A206,'Pre-Assessment Estimator'!$A$10:$Z$224,X$2,FALSE)=0,"",VLOOKUP($A206,'Pre-Assessment Estimator'!$A$10:$Z$224,X$2,FALSE))</f>
        <v/>
      </c>
      <c r="Y206" s="370" t="str">
        <f>IF(VLOOKUP($A206,'Pre-Assessment Estimator'!$A$10:$Z$224,Y$2,FALSE)=0,"",VLOOKUP($A206,'Pre-Assessment Estimator'!$A$10:$Z$224,Y$2,FALSE))</f>
        <v/>
      </c>
      <c r="Z206" s="704"/>
      <c r="AA206" s="708"/>
      <c r="AE206" s="386">
        <f t="shared" si="2"/>
        <v>2</v>
      </c>
      <c r="AF206" s="275">
        <v>0</v>
      </c>
      <c r="AG206" s="275">
        <v>0</v>
      </c>
      <c r="AH206" s="275">
        <v>0</v>
      </c>
    </row>
    <row r="207" spans="1:34" ht="30.75" thickBot="1" x14ac:dyDescent="0.3">
      <c r="A207" s="836">
        <v>198</v>
      </c>
      <c r="B207" s="1262" t="s">
        <v>219</v>
      </c>
      <c r="C207" s="1262"/>
      <c r="D207" s="341" t="str">
        <f>VLOOKUP($A207,'Pre-Assessment Estimator'!$A$10:$Z$224,D$2,FALSE)</f>
        <v>Total performance pollution</v>
      </c>
      <c r="E207" s="589">
        <f>VLOOKUP($A207,'Pre-Assessment Estimator'!$A$10:$Z$224,E$2,FALSE)</f>
        <v>7</v>
      </c>
      <c r="F207" s="591" t="str">
        <f>IF(VLOOKUP($A207,'Pre-Assessment Estimator'!$A$10:$Z$224,F$2,FALSE)=0,"",VLOOKUP($A207,'Pre-Assessment Estimator'!$A$10:$Z$224,F$2,FALSE))</f>
        <v/>
      </c>
      <c r="G207" s="590">
        <f>VLOOKUP($A207,'Pre-Assessment Estimator'!$A$10:$Z$224,G$2,FALSE)</f>
        <v>0</v>
      </c>
      <c r="H207" s="589" t="str">
        <f>VLOOKUP($A207,'Pre-Assessment Estimator'!$A$10:$Z$224,H$2,FALSE)</f>
        <v>Credits achieved: 0</v>
      </c>
      <c r="I207" s="1220" t="str">
        <f>IF(VLOOKUP($A207,'Pre-Assessment Estimator'!$A$10:$Z$224,I$2,FALSE)=0,"",VLOOKUP($A207,'Pre-Assessment Estimator'!$A$10:$Z$224,I$2,FALSE))</f>
        <v/>
      </c>
      <c r="J207" s="1220" t="str">
        <f>IF(VLOOKUP($A207,'Pre-Assessment Estimator'!$A$10:$Z$224,J$2,FALSE)=0,"",VLOOKUP($A207,'Pre-Assessment Estimator'!$A$10:$Z$224,J$2,FALSE))</f>
        <v/>
      </c>
      <c r="K207" s="1240" t="str">
        <f>IF(VLOOKUP($A207,'Pre-Assessment Estimator'!$A$10:$Z$224,K$2,FALSE)=0,"",VLOOKUP($A207,'Pre-Assessment Estimator'!$A$10:$Z$224,K$2,FALSE))</f>
        <v/>
      </c>
      <c r="L207" s="1241"/>
      <c r="M207" s="591" t="str">
        <f>IF(VLOOKUP($A207,'Pre-Assessment Estimator'!$A$10:$Z$224,M$2,FALSE)=0,"",VLOOKUP($A207,'Pre-Assessment Estimator'!$A$10:$Z$224,M$2,FALSE))</f>
        <v/>
      </c>
      <c r="N207" s="590">
        <f>VLOOKUP($A207,'Pre-Assessment Estimator'!$A$10:$Z$224,N$2,FALSE)</f>
        <v>0</v>
      </c>
      <c r="O207" s="589" t="str">
        <f>VLOOKUP($A207,'Pre-Assessment Estimator'!$A$10:$Z$224,O$2,FALSE)</f>
        <v>Credits achieved: 0</v>
      </c>
      <c r="P207" s="1220" t="str">
        <f>IF(VLOOKUP($A207,'Pre-Assessment Estimator'!$A$10:$Z$224,P$2,FALSE)=0,"",VLOOKUP($A207,'Pre-Assessment Estimator'!$A$10:$Z$224,P$2,FALSE))</f>
        <v/>
      </c>
      <c r="Q207" s="1220" t="str">
        <f>IF(VLOOKUP($A207,'Pre-Assessment Estimator'!$A$10:$Z$224,Q$2,FALSE)=0,"",VLOOKUP($A207,'Pre-Assessment Estimator'!$A$10:$Z$224,Q$2,FALSE))</f>
        <v/>
      </c>
      <c r="R207" s="1240" t="str">
        <f>IF(VLOOKUP($A207,'Pre-Assessment Estimator'!$A$10:$Z$224,R$2,FALSE)=0,"",VLOOKUP($A207,'Pre-Assessment Estimator'!$A$10:$Z$224,R$2,FALSE))</f>
        <v/>
      </c>
      <c r="S207" s="1242"/>
      <c r="T207" s="591" t="str">
        <f>IF(VLOOKUP($A207,'Pre-Assessment Estimator'!$A$10:$Z$224,T$2,FALSE)=0,"",VLOOKUP($A207,'Pre-Assessment Estimator'!$A$10:$Z$224,T$2,FALSE))</f>
        <v/>
      </c>
      <c r="U207" s="590">
        <f>VLOOKUP($A207,'Pre-Assessment Estimator'!$A$10:$Z$224,U$2,FALSE)</f>
        <v>0</v>
      </c>
      <c r="V207" s="589" t="str">
        <f>VLOOKUP($A207,'Pre-Assessment Estimator'!$A$10:$Z$224,V$2,FALSE)</f>
        <v>Credits achieved: 0</v>
      </c>
      <c r="W207" s="1220" t="str">
        <f>IF(VLOOKUP($A207,'Pre-Assessment Estimator'!$A$10:$Z$224,W$2,FALSE)=0,"",VLOOKUP($A207,'Pre-Assessment Estimator'!$A$10:$Z$224,W$2,FALSE))</f>
        <v/>
      </c>
      <c r="X207" s="1220" t="str">
        <f>IF(VLOOKUP($A207,'Pre-Assessment Estimator'!$A$10:$Z$224,X$2,FALSE)=0,"",VLOOKUP($A207,'Pre-Assessment Estimator'!$A$10:$Z$224,X$2,FALSE))</f>
        <v/>
      </c>
      <c r="Y207" s="1243" t="str">
        <f>IF(VLOOKUP($A207,'Pre-Assessment Estimator'!$A$10:$Z$224,Y$2,FALSE)=0,"",VLOOKUP($A207,'Pre-Assessment Estimator'!$A$10:$Z$224,Y$2,FALSE))</f>
        <v/>
      </c>
      <c r="Z207" s="705"/>
      <c r="AA207" s="584" t="str">
        <f>IF(VLOOKUP($A207,'Pre-Assessment Estimator'!$A$10:$AB$224,AA$2,FALSE)=0,"",VLOOKUP($A207,'Pre-Assessment Estimator'!$A$10:$AB$224,AA$2,FALSE))</f>
        <v/>
      </c>
      <c r="AE207" s="386">
        <f t="shared" si="2"/>
        <v>1</v>
      </c>
      <c r="AF207" s="95" t="e">
        <f>VLOOKUP(J207,'Assessment Details'!$O$45:$P$48,2,FALSE)</f>
        <v>#N/A</v>
      </c>
      <c r="AG207" s="95" t="e">
        <f>VLOOKUP(Q207,'Assessment Details'!$O$45:$P$48,2,FALSE)</f>
        <v>#N/A</v>
      </c>
      <c r="AH207" s="95" t="e">
        <f>VLOOKUP(X207,'Assessment Details'!$O$45:$P$48,2,FALSE)</f>
        <v>#N/A</v>
      </c>
    </row>
    <row r="208" spans="1:34" x14ac:dyDescent="0.25">
      <c r="A208" s="836">
        <v>199</v>
      </c>
      <c r="B208" s="1262" t="s">
        <v>219</v>
      </c>
      <c r="C208" s="1262"/>
      <c r="D208" s="592"/>
      <c r="E208" s="593"/>
      <c r="F208" s="593"/>
      <c r="G208" s="593"/>
      <c r="H208" s="593"/>
      <c r="I208" s="592"/>
      <c r="J208" s="593"/>
      <c r="K208" s="592"/>
      <c r="L208" s="586"/>
      <c r="M208" s="593"/>
      <c r="N208" s="593"/>
      <c r="O208" s="593"/>
      <c r="P208" s="592"/>
      <c r="Q208" s="593"/>
      <c r="R208" s="592"/>
      <c r="S208" s="588"/>
      <c r="T208" s="593"/>
      <c r="U208" s="593"/>
      <c r="V208" s="593"/>
      <c r="W208" s="592"/>
      <c r="X208" s="593"/>
      <c r="Y208" s="343"/>
      <c r="Z208" s="705"/>
      <c r="AA208" s="584" t="str">
        <f>IF(VLOOKUP($A208,'Pre-Assessment Estimator'!$A$10:$AB$224,AA$2,FALSE)=0,"",VLOOKUP($A208,'Pre-Assessment Estimator'!$A$10:$AB$224,AA$2,FALSE))</f>
        <v/>
      </c>
      <c r="AE208" s="386">
        <f t="shared" si="2"/>
        <v>1</v>
      </c>
      <c r="AF208" s="95" t="e">
        <f>VLOOKUP(J208,'Assessment Details'!$O$45:$P$48,2,FALSE)</f>
        <v>#N/A</v>
      </c>
      <c r="AG208" s="95" t="e">
        <f>VLOOKUP(Q208,'Assessment Details'!$O$45:$P$48,2,FALSE)</f>
        <v>#N/A</v>
      </c>
      <c r="AH208" s="95" t="e">
        <f>VLOOKUP(X208,'Assessment Details'!$O$45:$P$48,2,FALSE)</f>
        <v>#N/A</v>
      </c>
    </row>
    <row r="209" spans="1:34" ht="37.5" x14ac:dyDescent="0.25">
      <c r="A209" s="836">
        <v>200</v>
      </c>
      <c r="B209" s="1262" t="s">
        <v>219</v>
      </c>
      <c r="C209" s="1262"/>
      <c r="D209" s="594" t="s">
        <v>397</v>
      </c>
      <c r="E209" s="577"/>
      <c r="F209" s="577"/>
      <c r="G209" s="577"/>
      <c r="H209" s="577"/>
      <c r="I209" s="578"/>
      <c r="J209" s="577"/>
      <c r="K209" s="578"/>
      <c r="L209" s="586"/>
      <c r="M209" s="577"/>
      <c r="N209" s="577"/>
      <c r="O209" s="577"/>
      <c r="P209" s="578"/>
      <c r="Q209" s="577"/>
      <c r="R209" s="578"/>
      <c r="S209" s="588"/>
      <c r="T209" s="577"/>
      <c r="U209" s="577"/>
      <c r="V209" s="577"/>
      <c r="W209" s="578"/>
      <c r="X209" s="577"/>
      <c r="Y209" s="411"/>
      <c r="Z209" s="705"/>
      <c r="AA209" s="584" t="str">
        <f>IF(VLOOKUP($A209,'Pre-Assessment Estimator'!$A$10:$AB$224,AA$2,FALSE)=0,"",VLOOKUP($A209,'Pre-Assessment Estimator'!$A$10:$AB$224,AA$2,FALSE))</f>
        <v/>
      </c>
      <c r="AE209" s="386">
        <f t="shared" ref="AE209:AE221" si="3">IF(E209="",1,IF(E209=0,2,1))</f>
        <v>1</v>
      </c>
      <c r="AF209" s="95" t="e">
        <f>VLOOKUP(J209,'Assessment Details'!$O$45:$P$48,2,FALSE)</f>
        <v>#N/A</v>
      </c>
      <c r="AG209" s="95" t="e">
        <f>VLOOKUP(Q209,'Assessment Details'!$O$45:$P$48,2,FALSE)</f>
        <v>#N/A</v>
      </c>
      <c r="AH209" s="95" t="e">
        <f>VLOOKUP(X209,'Assessment Details'!$O$45:$P$48,2,FALSE)</f>
        <v>#N/A</v>
      </c>
    </row>
    <row r="210" spans="1:34" ht="30" x14ac:dyDescent="0.25">
      <c r="A210" s="836">
        <v>201</v>
      </c>
      <c r="B210" s="1262"/>
      <c r="C210" s="1262"/>
      <c r="D210" s="340" t="str">
        <f>VLOOKUP($A210,'Pre-Assessment Estimator'!$A$10:$Z$224,D$2,FALSE)</f>
        <v xml:space="preserve">Inn 01 - Man 03: Reduction of direct emissions from construction sites </v>
      </c>
      <c r="E210" s="581">
        <f>VLOOKUP($A210,'Pre-Assessment Estimator'!$A$10:$Z$224,E$2,FALSE)</f>
        <v>1</v>
      </c>
      <c r="F210" s="587" t="str">
        <f>IF(VLOOKUP($A210,'Pre-Assessment Estimator'!$A$10:$Z$224,F$2,FALSE)=0,"",VLOOKUP($A210,'Pre-Assessment Estimator'!$A$10:$Z$224,F$2,FALSE))</f>
        <v/>
      </c>
      <c r="G210" s="1239">
        <f>VLOOKUP($A210,'Pre-Assessment Estimator'!$A$10:$Z$224,G$2,FALSE)</f>
        <v>0</v>
      </c>
      <c r="H210" s="583" t="str">
        <f>VLOOKUP($A210,'Pre-Assessment Estimator'!$A$10:$Z$224,H$2,FALSE)</f>
        <v>N/A</v>
      </c>
      <c r="I210" s="584" t="str">
        <f>IF(VLOOKUP($A210,'Pre-Assessment Estimator'!$A$10:$Z$224,I$2,FALSE)=0,"",VLOOKUP($A210,'Pre-Assessment Estimator'!$A$10:$Z$224,I$2,FALSE))</f>
        <v/>
      </c>
      <c r="J210" s="584" t="str">
        <f>IF(VLOOKUP($A210,'Pre-Assessment Estimator'!$A$10:$Z$224,J$2,FALSE)=0,"",VLOOKUP($A210,'Pre-Assessment Estimator'!$A$10:$Z$224,J$2,FALSE))</f>
        <v/>
      </c>
      <c r="K210" s="585" t="str">
        <f>IF(VLOOKUP($A210,'Pre-Assessment Estimator'!$A$10:$Z$224,K$2,FALSE)=0,"",VLOOKUP($A210,'Pre-Assessment Estimator'!$A$10:$Z$224,K$2,FALSE))</f>
        <v/>
      </c>
      <c r="L210" s="586"/>
      <c r="M210" s="587" t="str">
        <f>IF(VLOOKUP($A210,'Pre-Assessment Estimator'!$A$10:$Z$224,M$2,FALSE)=0,"",VLOOKUP($A210,'Pre-Assessment Estimator'!$A$10:$Z$224,M$2,FALSE))</f>
        <v/>
      </c>
      <c r="N210" s="582">
        <f>VLOOKUP($A210,'Pre-Assessment Estimator'!$A$10:$Z$224,N$2,FALSE)</f>
        <v>0</v>
      </c>
      <c r="O210" s="581" t="str">
        <f>VLOOKUP($A210,'Pre-Assessment Estimator'!$A$10:$Z$224,O$2,FALSE)</f>
        <v>N/A</v>
      </c>
      <c r="P210" s="584" t="str">
        <f>IF(VLOOKUP($A210,'Pre-Assessment Estimator'!$A$10:$Z$224,P$2,FALSE)=0,"",VLOOKUP($A210,'Pre-Assessment Estimator'!$A$10:$Z$224,P$2,FALSE))</f>
        <v/>
      </c>
      <c r="Q210" s="584" t="str">
        <f>IF(VLOOKUP($A210,'Pre-Assessment Estimator'!$A$10:$Z$224,Q$2,FALSE)=0,"",VLOOKUP($A210,'Pre-Assessment Estimator'!$A$10:$Z$224,Q$2,FALSE))</f>
        <v/>
      </c>
      <c r="R210" s="585" t="str">
        <f>IF(VLOOKUP($A210,'Pre-Assessment Estimator'!$A$10:$Z$224,R$2,FALSE)=0,"",VLOOKUP($A210,'Pre-Assessment Estimator'!$A$10:$Z$224,R$2,FALSE))</f>
        <v/>
      </c>
      <c r="S210" s="588"/>
      <c r="T210" s="587" t="str">
        <f>IF(VLOOKUP($A210,'Pre-Assessment Estimator'!$A$10:$Z$224,T$2,FALSE)=0,"",VLOOKUP($A210,'Pre-Assessment Estimator'!$A$10:$Z$224,T$2,FALSE))</f>
        <v/>
      </c>
      <c r="U210" s="582">
        <f>VLOOKUP($A210,'Pre-Assessment Estimator'!$A$10:$Z$224,U$2,FALSE)</f>
        <v>0</v>
      </c>
      <c r="V210" s="581" t="str">
        <f>VLOOKUP($A210,'Pre-Assessment Estimator'!$A$10:$Z$224,V$2,FALSE)</f>
        <v>N/A</v>
      </c>
      <c r="W210" s="584" t="str">
        <f>IF(VLOOKUP($A210,'Pre-Assessment Estimator'!$A$10:$Z$224,W$2,FALSE)=0,"",VLOOKUP($A210,'Pre-Assessment Estimator'!$A$10:$Z$224,W$2,FALSE))</f>
        <v/>
      </c>
      <c r="X210" s="584" t="str">
        <f>IF(VLOOKUP($A210,'Pre-Assessment Estimator'!$A$10:$Z$224,X$2,FALSE)=0,"",VLOOKUP($A210,'Pre-Assessment Estimator'!$A$10:$Z$224,X$2,FALSE))</f>
        <v/>
      </c>
      <c r="Y210" s="370" t="str">
        <f>IF(VLOOKUP($A210,'Pre-Assessment Estimator'!$A$10:$Z$224,Y$2,FALSE)=0,"",VLOOKUP($A210,'Pre-Assessment Estimator'!$A$10:$Z$224,Y$2,FALSE))</f>
        <v/>
      </c>
      <c r="Z210" s="705"/>
      <c r="AA210" s="584"/>
      <c r="AE210" s="386">
        <f t="shared" si="3"/>
        <v>1</v>
      </c>
      <c r="AF210" s="95" t="e">
        <f>VLOOKUP(J210,'Assessment Details'!$O$45:$P$48,2,FALSE)</f>
        <v>#N/A</v>
      </c>
      <c r="AG210" s="95" t="e">
        <f>VLOOKUP(Q210,'Assessment Details'!$O$45:$P$48,2,FALSE)</f>
        <v>#N/A</v>
      </c>
      <c r="AH210" s="95" t="e">
        <f>VLOOKUP(X210,'Assessment Details'!$O$45:$P$48,2,FALSE)</f>
        <v>#N/A</v>
      </c>
    </row>
    <row r="211" spans="1:34" x14ac:dyDescent="0.25">
      <c r="A211" s="836">
        <v>202</v>
      </c>
      <c r="B211" s="1262"/>
      <c r="C211" s="1262"/>
      <c r="D211" s="340" t="str">
        <f>VLOOKUP($A211,'Pre-Assessment Estimator'!$A$10:$Z$224,D$2,FALSE)</f>
        <v xml:space="preserve">Inn 02 - Hea 01: View out, high level </v>
      </c>
      <c r="E211" s="581">
        <f>VLOOKUP($A211,'Pre-Assessment Estimator'!$A$10:$Z$224,E$2,FALSE)</f>
        <v>1</v>
      </c>
      <c r="F211" s="587" t="str">
        <f>IF(VLOOKUP($A211,'Pre-Assessment Estimator'!$A$10:$Z$224,F$2,FALSE)=0,"",VLOOKUP($A211,'Pre-Assessment Estimator'!$A$10:$Z$224,F$2,FALSE))</f>
        <v/>
      </c>
      <c r="G211" s="1239">
        <f>VLOOKUP($A211,'Pre-Assessment Estimator'!$A$10:$Z$224,G$2,FALSE)</f>
        <v>0</v>
      </c>
      <c r="H211" s="583" t="str">
        <f>VLOOKUP($A211,'Pre-Assessment Estimator'!$A$10:$Z$224,H$2,FALSE)</f>
        <v>N/A</v>
      </c>
      <c r="I211" s="584" t="str">
        <f>IF(VLOOKUP($A211,'Pre-Assessment Estimator'!$A$10:$Z$224,I$2,FALSE)=0,"",VLOOKUP($A211,'Pre-Assessment Estimator'!$A$10:$Z$224,I$2,FALSE))</f>
        <v/>
      </c>
      <c r="J211" s="584" t="str">
        <f>IF(VLOOKUP($A211,'Pre-Assessment Estimator'!$A$10:$Z$224,J$2,FALSE)=0,"",VLOOKUP($A211,'Pre-Assessment Estimator'!$A$10:$Z$224,J$2,FALSE))</f>
        <v/>
      </c>
      <c r="K211" s="585" t="str">
        <f>IF(VLOOKUP($A211,'Pre-Assessment Estimator'!$A$10:$Z$224,K$2,FALSE)=0,"",VLOOKUP($A211,'Pre-Assessment Estimator'!$A$10:$Z$224,K$2,FALSE))</f>
        <v/>
      </c>
      <c r="L211" s="586"/>
      <c r="M211" s="587" t="str">
        <f>IF(VLOOKUP($A211,'Pre-Assessment Estimator'!$A$10:$Z$224,M$2,FALSE)=0,"",VLOOKUP($A211,'Pre-Assessment Estimator'!$A$10:$Z$224,M$2,FALSE))</f>
        <v/>
      </c>
      <c r="N211" s="582">
        <f>VLOOKUP($A211,'Pre-Assessment Estimator'!$A$10:$Z$224,N$2,FALSE)</f>
        <v>0</v>
      </c>
      <c r="O211" s="581" t="str">
        <f>VLOOKUP($A211,'Pre-Assessment Estimator'!$A$10:$Z$224,O$2,FALSE)</f>
        <v>N/A</v>
      </c>
      <c r="P211" s="584" t="str">
        <f>IF(VLOOKUP($A211,'Pre-Assessment Estimator'!$A$10:$Z$224,P$2,FALSE)=0,"",VLOOKUP($A211,'Pre-Assessment Estimator'!$A$10:$Z$224,P$2,FALSE))</f>
        <v/>
      </c>
      <c r="Q211" s="584" t="str">
        <f>IF(VLOOKUP($A211,'Pre-Assessment Estimator'!$A$10:$Z$224,Q$2,FALSE)=0,"",VLOOKUP($A211,'Pre-Assessment Estimator'!$A$10:$Z$224,Q$2,FALSE))</f>
        <v/>
      </c>
      <c r="R211" s="585" t="str">
        <f>IF(VLOOKUP($A211,'Pre-Assessment Estimator'!$A$10:$Z$224,R$2,FALSE)=0,"",VLOOKUP($A211,'Pre-Assessment Estimator'!$A$10:$Z$224,R$2,FALSE))</f>
        <v/>
      </c>
      <c r="S211" s="588"/>
      <c r="T211" s="587" t="str">
        <f>IF(VLOOKUP($A211,'Pre-Assessment Estimator'!$A$10:$Z$224,T$2,FALSE)=0,"",VLOOKUP($A211,'Pre-Assessment Estimator'!$A$10:$Z$224,T$2,FALSE))</f>
        <v/>
      </c>
      <c r="U211" s="582">
        <f>VLOOKUP($A211,'Pre-Assessment Estimator'!$A$10:$Z$224,U$2,FALSE)</f>
        <v>0</v>
      </c>
      <c r="V211" s="581" t="str">
        <f>VLOOKUP($A211,'Pre-Assessment Estimator'!$A$10:$Z$224,V$2,FALSE)</f>
        <v>N/A</v>
      </c>
      <c r="W211" s="584" t="str">
        <f>IF(VLOOKUP($A211,'Pre-Assessment Estimator'!$A$10:$Z$224,W$2,FALSE)=0,"",VLOOKUP($A211,'Pre-Assessment Estimator'!$A$10:$Z$224,W$2,FALSE))</f>
        <v/>
      </c>
      <c r="X211" s="584" t="str">
        <f>IF(VLOOKUP($A211,'Pre-Assessment Estimator'!$A$10:$Z$224,X$2,FALSE)=0,"",VLOOKUP($A211,'Pre-Assessment Estimator'!$A$10:$Z$224,X$2,FALSE))</f>
        <v/>
      </c>
      <c r="Y211" s="370" t="str">
        <f>IF(VLOOKUP($A211,'Pre-Assessment Estimator'!$A$10:$Z$224,Y$2,FALSE)=0,"",VLOOKUP($A211,'Pre-Assessment Estimator'!$A$10:$Z$224,Y$2,FALSE))</f>
        <v/>
      </c>
      <c r="Z211" s="705"/>
      <c r="AA211" s="584"/>
      <c r="AE211" s="386">
        <f t="shared" si="3"/>
        <v>1</v>
      </c>
      <c r="AF211" s="95" t="e">
        <f>VLOOKUP(J211,'Assessment Details'!$O$45:$P$48,2,FALSE)</f>
        <v>#N/A</v>
      </c>
      <c r="AG211" s="95" t="e">
        <f>VLOOKUP(Q211,'Assessment Details'!$O$45:$P$48,2,FALSE)</f>
        <v>#N/A</v>
      </c>
      <c r="AH211" s="95" t="e">
        <f>VLOOKUP(X211,'Assessment Details'!$O$45:$P$48,2,FALSE)</f>
        <v>#N/A</v>
      </c>
    </row>
    <row r="212" spans="1:34" x14ac:dyDescent="0.25">
      <c r="A212" s="836">
        <v>203</v>
      </c>
      <c r="B212" s="1262"/>
      <c r="C212" s="1262"/>
      <c r="D212" s="340" t="str">
        <f>VLOOKUP($A212,'Pre-Assessment Estimator'!$A$10:$Z$224,D$2,FALSE)</f>
        <v xml:space="preserve">Inn 03 - Hea 02: Emissions from construction products  </v>
      </c>
      <c r="E212" s="581">
        <f>VLOOKUP($A212,'Pre-Assessment Estimator'!$A$10:$Z$224,E$2,FALSE)</f>
        <v>1</v>
      </c>
      <c r="F212" s="587" t="str">
        <f>IF(VLOOKUP($A212,'Pre-Assessment Estimator'!$A$10:$Z$224,F$2,FALSE)=0,"",VLOOKUP($A212,'Pre-Assessment Estimator'!$A$10:$Z$224,F$2,FALSE))</f>
        <v/>
      </c>
      <c r="G212" s="1239">
        <f>VLOOKUP($A212,'Pre-Assessment Estimator'!$A$10:$Z$224,G$2,FALSE)</f>
        <v>0</v>
      </c>
      <c r="H212" s="583" t="str">
        <f>VLOOKUP($A212,'Pre-Assessment Estimator'!$A$10:$Z$224,H$2,FALSE)</f>
        <v>N/A</v>
      </c>
      <c r="I212" s="584" t="str">
        <f>IF(VLOOKUP($A212,'Pre-Assessment Estimator'!$A$10:$Z$224,I$2,FALSE)=0,"",VLOOKUP($A212,'Pre-Assessment Estimator'!$A$10:$Z$224,I$2,FALSE))</f>
        <v/>
      </c>
      <c r="J212" s="584" t="str">
        <f>IF(VLOOKUP($A212,'Pre-Assessment Estimator'!$A$10:$Z$224,J$2,FALSE)=0,"",VLOOKUP($A212,'Pre-Assessment Estimator'!$A$10:$Z$224,J$2,FALSE))</f>
        <v/>
      </c>
      <c r="K212" s="585" t="str">
        <f>IF(VLOOKUP($A212,'Pre-Assessment Estimator'!$A$10:$Z$224,K$2,FALSE)=0,"",VLOOKUP($A212,'Pre-Assessment Estimator'!$A$10:$Z$224,K$2,FALSE))</f>
        <v/>
      </c>
      <c r="L212" s="586"/>
      <c r="M212" s="587" t="str">
        <f>IF(VLOOKUP($A212,'Pre-Assessment Estimator'!$A$10:$Z$224,M$2,FALSE)=0,"",VLOOKUP($A212,'Pre-Assessment Estimator'!$A$10:$Z$224,M$2,FALSE))</f>
        <v/>
      </c>
      <c r="N212" s="582">
        <f>VLOOKUP($A212,'Pre-Assessment Estimator'!$A$10:$Z$224,N$2,FALSE)</f>
        <v>0</v>
      </c>
      <c r="O212" s="581" t="str">
        <f>VLOOKUP($A212,'Pre-Assessment Estimator'!$A$10:$Z$224,O$2,FALSE)</f>
        <v>N/A</v>
      </c>
      <c r="P212" s="584" t="str">
        <f>IF(VLOOKUP($A212,'Pre-Assessment Estimator'!$A$10:$Z$224,P$2,FALSE)=0,"",VLOOKUP($A212,'Pre-Assessment Estimator'!$A$10:$Z$224,P$2,FALSE))</f>
        <v/>
      </c>
      <c r="Q212" s="584" t="str">
        <f>IF(VLOOKUP($A212,'Pre-Assessment Estimator'!$A$10:$Z$224,Q$2,FALSE)=0,"",VLOOKUP($A212,'Pre-Assessment Estimator'!$A$10:$Z$224,Q$2,FALSE))</f>
        <v/>
      </c>
      <c r="R212" s="585" t="str">
        <f>IF(VLOOKUP($A212,'Pre-Assessment Estimator'!$A$10:$Z$224,R$2,FALSE)=0,"",VLOOKUP($A212,'Pre-Assessment Estimator'!$A$10:$Z$224,R$2,FALSE))</f>
        <v/>
      </c>
      <c r="S212" s="588"/>
      <c r="T212" s="587" t="str">
        <f>IF(VLOOKUP($A212,'Pre-Assessment Estimator'!$A$10:$Z$224,T$2,FALSE)=0,"",VLOOKUP($A212,'Pre-Assessment Estimator'!$A$10:$Z$224,T$2,FALSE))</f>
        <v/>
      </c>
      <c r="U212" s="582">
        <f>VLOOKUP($A212,'Pre-Assessment Estimator'!$A$10:$Z$224,U$2,FALSE)</f>
        <v>0</v>
      </c>
      <c r="V212" s="581" t="str">
        <f>VLOOKUP($A212,'Pre-Assessment Estimator'!$A$10:$Z$224,V$2,FALSE)</f>
        <v>N/A</v>
      </c>
      <c r="W212" s="584" t="str">
        <f>IF(VLOOKUP($A212,'Pre-Assessment Estimator'!$A$10:$Z$224,W$2,FALSE)=0,"",VLOOKUP($A212,'Pre-Assessment Estimator'!$A$10:$Z$224,W$2,FALSE))</f>
        <v/>
      </c>
      <c r="X212" s="584" t="str">
        <f>IF(VLOOKUP($A212,'Pre-Assessment Estimator'!$A$10:$Z$224,X$2,FALSE)=0,"",VLOOKUP($A212,'Pre-Assessment Estimator'!$A$10:$Z$224,X$2,FALSE))</f>
        <v/>
      </c>
      <c r="Y212" s="370" t="str">
        <f>IF(VLOOKUP($A212,'Pre-Assessment Estimator'!$A$10:$Z$224,Y$2,FALSE)=0,"",VLOOKUP($A212,'Pre-Assessment Estimator'!$A$10:$Z$224,Y$2,FALSE))</f>
        <v/>
      </c>
      <c r="Z212" s="705"/>
      <c r="AA212" s="584"/>
      <c r="AE212" s="386">
        <f t="shared" si="3"/>
        <v>1</v>
      </c>
      <c r="AF212" s="95" t="e">
        <f>VLOOKUP(J212,'Assessment Details'!$O$45:$P$48,2,FALSE)</f>
        <v>#N/A</v>
      </c>
      <c r="AG212" s="95" t="e">
        <f>VLOOKUP(Q212,'Assessment Details'!$O$45:$P$48,2,FALSE)</f>
        <v>#N/A</v>
      </c>
      <c r="AH212" s="95" t="e">
        <f>VLOOKUP(X212,'Assessment Details'!$O$45:$P$48,2,FALSE)</f>
        <v>#N/A</v>
      </c>
    </row>
    <row r="213" spans="1:34" x14ac:dyDescent="0.25">
      <c r="A213" s="836">
        <v>204</v>
      </c>
      <c r="B213" s="1262"/>
      <c r="C213" s="1262"/>
      <c r="D213" s="340" t="str">
        <f>VLOOKUP($A213,'Pre-Assessment Estimator'!$A$10:$Z$224,D$2,FALSE)</f>
        <v xml:space="preserve">Inn 04 - Hea 06: Biofilik design </v>
      </c>
      <c r="E213" s="581">
        <f>VLOOKUP($A213,'Pre-Assessment Estimator'!$A$10:$Z$224,E$2,FALSE)</f>
        <v>1</v>
      </c>
      <c r="F213" s="587" t="str">
        <f>IF(VLOOKUP($A213,'Pre-Assessment Estimator'!$A$10:$Z$224,F$2,FALSE)=0,"",VLOOKUP($A213,'Pre-Assessment Estimator'!$A$10:$Z$224,F$2,FALSE))</f>
        <v/>
      </c>
      <c r="G213" s="1239">
        <f>VLOOKUP($A213,'Pre-Assessment Estimator'!$A$10:$Z$224,G$2,FALSE)</f>
        <v>0</v>
      </c>
      <c r="H213" s="583" t="str">
        <f>VLOOKUP($A213,'Pre-Assessment Estimator'!$A$10:$Z$224,H$2,FALSE)</f>
        <v>N/A</v>
      </c>
      <c r="I213" s="584" t="str">
        <f>IF(VLOOKUP($A213,'Pre-Assessment Estimator'!$A$10:$Z$224,I$2,FALSE)=0,"",VLOOKUP($A213,'Pre-Assessment Estimator'!$A$10:$Z$224,I$2,FALSE))</f>
        <v/>
      </c>
      <c r="J213" s="584" t="str">
        <f>IF(VLOOKUP($A213,'Pre-Assessment Estimator'!$A$10:$Z$224,J$2,FALSE)=0,"",VLOOKUP($A213,'Pre-Assessment Estimator'!$A$10:$Z$224,J$2,FALSE))</f>
        <v/>
      </c>
      <c r="K213" s="585" t="str">
        <f>IF(VLOOKUP($A213,'Pre-Assessment Estimator'!$A$10:$Z$224,K$2,FALSE)=0,"",VLOOKUP($A213,'Pre-Assessment Estimator'!$A$10:$Z$224,K$2,FALSE))</f>
        <v/>
      </c>
      <c r="L213" s="586"/>
      <c r="M213" s="587" t="str">
        <f>IF(VLOOKUP($A213,'Pre-Assessment Estimator'!$A$10:$Z$224,M$2,FALSE)=0,"",VLOOKUP($A213,'Pre-Assessment Estimator'!$A$10:$Z$224,M$2,FALSE))</f>
        <v/>
      </c>
      <c r="N213" s="582">
        <f>VLOOKUP($A213,'Pre-Assessment Estimator'!$A$10:$Z$224,N$2,FALSE)</f>
        <v>0</v>
      </c>
      <c r="O213" s="581" t="str">
        <f>VLOOKUP($A213,'Pre-Assessment Estimator'!$A$10:$Z$224,O$2,FALSE)</f>
        <v>N/A</v>
      </c>
      <c r="P213" s="584" t="str">
        <f>IF(VLOOKUP($A213,'Pre-Assessment Estimator'!$A$10:$Z$224,P$2,FALSE)=0,"",VLOOKUP($A213,'Pre-Assessment Estimator'!$A$10:$Z$224,P$2,FALSE))</f>
        <v/>
      </c>
      <c r="Q213" s="584" t="str">
        <f>IF(VLOOKUP($A213,'Pre-Assessment Estimator'!$A$10:$Z$224,Q$2,FALSE)=0,"",VLOOKUP($A213,'Pre-Assessment Estimator'!$A$10:$Z$224,Q$2,FALSE))</f>
        <v/>
      </c>
      <c r="R213" s="585" t="str">
        <f>IF(VLOOKUP($A213,'Pre-Assessment Estimator'!$A$10:$Z$224,R$2,FALSE)=0,"",VLOOKUP($A213,'Pre-Assessment Estimator'!$A$10:$Z$224,R$2,FALSE))</f>
        <v/>
      </c>
      <c r="S213" s="588"/>
      <c r="T213" s="587" t="str">
        <f>IF(VLOOKUP($A213,'Pre-Assessment Estimator'!$A$10:$Z$224,T$2,FALSE)=0,"",VLOOKUP($A213,'Pre-Assessment Estimator'!$A$10:$Z$224,T$2,FALSE))</f>
        <v/>
      </c>
      <c r="U213" s="582">
        <f>VLOOKUP($A213,'Pre-Assessment Estimator'!$A$10:$Z$224,U$2,FALSE)</f>
        <v>0</v>
      </c>
      <c r="V213" s="581" t="str">
        <f>VLOOKUP($A213,'Pre-Assessment Estimator'!$A$10:$Z$224,V$2,FALSE)</f>
        <v>N/A</v>
      </c>
      <c r="W213" s="584" t="str">
        <f>IF(VLOOKUP($A213,'Pre-Assessment Estimator'!$A$10:$Z$224,W$2,FALSE)=0,"",VLOOKUP($A213,'Pre-Assessment Estimator'!$A$10:$Z$224,W$2,FALSE))</f>
        <v/>
      </c>
      <c r="X213" s="584" t="str">
        <f>IF(VLOOKUP($A213,'Pre-Assessment Estimator'!$A$10:$Z$224,X$2,FALSE)=0,"",VLOOKUP($A213,'Pre-Assessment Estimator'!$A$10:$Z$224,X$2,FALSE))</f>
        <v/>
      </c>
      <c r="Y213" s="370" t="str">
        <f>IF(VLOOKUP($A213,'Pre-Assessment Estimator'!$A$10:$Z$224,Y$2,FALSE)=0,"",VLOOKUP($A213,'Pre-Assessment Estimator'!$A$10:$Z$224,Y$2,FALSE))</f>
        <v/>
      </c>
      <c r="Z213" s="705"/>
      <c r="AA213" s="584"/>
      <c r="AE213" s="386">
        <f t="shared" si="3"/>
        <v>1</v>
      </c>
      <c r="AF213" s="95" t="e">
        <f>VLOOKUP(J213,'Assessment Details'!$O$45:$P$48,2,FALSE)</f>
        <v>#N/A</v>
      </c>
      <c r="AG213" s="95" t="e">
        <f>VLOOKUP(Q213,'Assessment Details'!$O$45:$P$48,2,FALSE)</f>
        <v>#N/A</v>
      </c>
      <c r="AH213" s="95" t="e">
        <f>VLOOKUP(X213,'Assessment Details'!$O$45:$P$48,2,FALSE)</f>
        <v>#N/A</v>
      </c>
    </row>
    <row r="214" spans="1:34" x14ac:dyDescent="0.25">
      <c r="A214" s="836">
        <v>205</v>
      </c>
      <c r="B214" s="1262"/>
      <c r="C214" s="1262"/>
      <c r="D214" s="340" t="str">
        <f>VLOOKUP($A214,'Pre-Assessment Estimator'!$A$10:$Z$224,D$2,FALSE)</f>
        <v xml:space="preserve">Inn 05 - Ene 01: Post-occupancy stage </v>
      </c>
      <c r="E214" s="581">
        <f>VLOOKUP($A214,'Pre-Assessment Estimator'!$A$10:$Z$224,E$2,FALSE)</f>
        <v>2</v>
      </c>
      <c r="F214" s="587" t="str">
        <f>IF(VLOOKUP($A214,'Pre-Assessment Estimator'!$A$10:$Z$224,F$2,FALSE)=0,"",VLOOKUP($A214,'Pre-Assessment Estimator'!$A$10:$Z$224,F$2,FALSE))</f>
        <v/>
      </c>
      <c r="G214" s="1239">
        <f>VLOOKUP($A214,'Pre-Assessment Estimator'!$A$10:$Z$224,G$2,FALSE)</f>
        <v>0</v>
      </c>
      <c r="H214" s="583" t="str">
        <f>VLOOKUP($A214,'Pre-Assessment Estimator'!$A$10:$Z$224,H$2,FALSE)</f>
        <v>N/A</v>
      </c>
      <c r="I214" s="584" t="str">
        <f>IF(VLOOKUP($A214,'Pre-Assessment Estimator'!$A$10:$Z$224,I$2,FALSE)=0,"",VLOOKUP($A214,'Pre-Assessment Estimator'!$A$10:$Z$224,I$2,FALSE))</f>
        <v/>
      </c>
      <c r="J214" s="584" t="str">
        <f>IF(VLOOKUP($A214,'Pre-Assessment Estimator'!$A$10:$Z$224,J$2,FALSE)=0,"",VLOOKUP($A214,'Pre-Assessment Estimator'!$A$10:$Z$224,J$2,FALSE))</f>
        <v/>
      </c>
      <c r="K214" s="585" t="str">
        <f>IF(VLOOKUP($A214,'Pre-Assessment Estimator'!$A$10:$Z$224,K$2,FALSE)=0,"",VLOOKUP($A214,'Pre-Assessment Estimator'!$A$10:$Z$224,K$2,FALSE))</f>
        <v/>
      </c>
      <c r="L214" s="586"/>
      <c r="M214" s="587" t="str">
        <f>IF(VLOOKUP($A214,'Pre-Assessment Estimator'!$A$10:$Z$224,M$2,FALSE)=0,"",VLOOKUP($A214,'Pre-Assessment Estimator'!$A$10:$Z$224,M$2,FALSE))</f>
        <v/>
      </c>
      <c r="N214" s="582">
        <f>VLOOKUP($A214,'Pre-Assessment Estimator'!$A$10:$Z$224,N$2,FALSE)</f>
        <v>0</v>
      </c>
      <c r="O214" s="581" t="str">
        <f>VLOOKUP($A214,'Pre-Assessment Estimator'!$A$10:$Z$224,O$2,FALSE)</f>
        <v>N/A</v>
      </c>
      <c r="P214" s="584" t="str">
        <f>IF(VLOOKUP($A214,'Pre-Assessment Estimator'!$A$10:$Z$224,P$2,FALSE)=0,"",VLOOKUP($A214,'Pre-Assessment Estimator'!$A$10:$Z$224,P$2,FALSE))</f>
        <v/>
      </c>
      <c r="Q214" s="584" t="str">
        <f>IF(VLOOKUP($A214,'Pre-Assessment Estimator'!$A$10:$Z$224,Q$2,FALSE)=0,"",VLOOKUP($A214,'Pre-Assessment Estimator'!$A$10:$Z$224,Q$2,FALSE))</f>
        <v/>
      </c>
      <c r="R214" s="585" t="str">
        <f>IF(VLOOKUP($A214,'Pre-Assessment Estimator'!$A$10:$Z$224,R$2,FALSE)=0,"",VLOOKUP($A214,'Pre-Assessment Estimator'!$A$10:$Z$224,R$2,FALSE))</f>
        <v/>
      </c>
      <c r="S214" s="588"/>
      <c r="T214" s="587" t="str">
        <f>IF(VLOOKUP($A214,'Pre-Assessment Estimator'!$A$10:$Z$224,T$2,FALSE)=0,"",VLOOKUP($A214,'Pre-Assessment Estimator'!$A$10:$Z$224,T$2,FALSE))</f>
        <v/>
      </c>
      <c r="U214" s="582">
        <f>VLOOKUP($A214,'Pre-Assessment Estimator'!$A$10:$Z$224,U$2,FALSE)</f>
        <v>0</v>
      </c>
      <c r="V214" s="581" t="str">
        <f>VLOOKUP($A214,'Pre-Assessment Estimator'!$A$10:$Z$224,V$2,FALSE)</f>
        <v>N/A</v>
      </c>
      <c r="W214" s="584" t="str">
        <f>IF(VLOOKUP($A214,'Pre-Assessment Estimator'!$A$10:$Z$224,W$2,FALSE)=0,"",VLOOKUP($A214,'Pre-Assessment Estimator'!$A$10:$Z$224,W$2,FALSE))</f>
        <v/>
      </c>
      <c r="X214" s="584" t="str">
        <f>IF(VLOOKUP($A214,'Pre-Assessment Estimator'!$A$10:$Z$224,X$2,FALSE)=0,"",VLOOKUP($A214,'Pre-Assessment Estimator'!$A$10:$Z$224,X$2,FALSE))</f>
        <v/>
      </c>
      <c r="Y214" s="370" t="str">
        <f>IF(VLOOKUP($A214,'Pre-Assessment Estimator'!$A$10:$Z$224,Y$2,FALSE)=0,"",VLOOKUP($A214,'Pre-Assessment Estimator'!$A$10:$Z$224,Y$2,FALSE))</f>
        <v/>
      </c>
      <c r="Z214" s="705"/>
      <c r="AA214" s="584"/>
      <c r="AE214" s="386">
        <f t="shared" si="3"/>
        <v>1</v>
      </c>
      <c r="AF214" s="95" t="e">
        <f>VLOOKUP(J214,'Assessment Details'!$O$45:$P$48,2,FALSE)</f>
        <v>#N/A</v>
      </c>
      <c r="AG214" s="95" t="e">
        <f>VLOOKUP(Q214,'Assessment Details'!$O$45:$P$48,2,FALSE)</f>
        <v>#N/A</v>
      </c>
      <c r="AH214" s="95" t="e">
        <f>VLOOKUP(X214,'Assessment Details'!$O$45:$P$48,2,FALSE)</f>
        <v>#N/A</v>
      </c>
    </row>
    <row r="215" spans="1:34" x14ac:dyDescent="0.25">
      <c r="A215" s="836">
        <v>206</v>
      </c>
      <c r="B215" s="1262"/>
      <c r="C215" s="1262"/>
      <c r="D215" s="340" t="str">
        <f>VLOOKUP($A215,'Pre-Assessment Estimator'!$A$10:$Z$224,D$2,FALSE)</f>
        <v xml:space="preserve">Inn 06 - Ene 01: Plus house </v>
      </c>
      <c r="E215" s="581">
        <f>VLOOKUP($A215,'Pre-Assessment Estimator'!$A$10:$Z$224,E$2,FALSE)</f>
        <v>1</v>
      </c>
      <c r="F215" s="587" t="str">
        <f>IF(VLOOKUP($A215,'Pre-Assessment Estimator'!$A$10:$Z$224,F$2,FALSE)=0,"",VLOOKUP($A215,'Pre-Assessment Estimator'!$A$10:$Z$224,F$2,FALSE))</f>
        <v/>
      </c>
      <c r="G215" s="1239">
        <f>VLOOKUP($A215,'Pre-Assessment Estimator'!$A$10:$Z$224,G$2,FALSE)</f>
        <v>0</v>
      </c>
      <c r="H215" s="583" t="str">
        <f>VLOOKUP($A215,'Pre-Assessment Estimator'!$A$10:$Z$224,H$2,FALSE)</f>
        <v>N/A</v>
      </c>
      <c r="I215" s="584" t="str">
        <f>IF(VLOOKUP($A215,'Pre-Assessment Estimator'!$A$10:$Z$224,I$2,FALSE)=0,"",VLOOKUP($A215,'Pre-Assessment Estimator'!$A$10:$Z$224,I$2,FALSE))</f>
        <v/>
      </c>
      <c r="J215" s="584" t="str">
        <f>IF(VLOOKUP($A215,'Pre-Assessment Estimator'!$A$10:$Z$224,J$2,FALSE)=0,"",VLOOKUP($A215,'Pre-Assessment Estimator'!$A$10:$Z$224,J$2,FALSE))</f>
        <v/>
      </c>
      <c r="K215" s="585" t="str">
        <f>IF(VLOOKUP($A215,'Pre-Assessment Estimator'!$A$10:$Z$224,K$2,FALSE)=0,"",VLOOKUP($A215,'Pre-Assessment Estimator'!$A$10:$Z$224,K$2,FALSE))</f>
        <v/>
      </c>
      <c r="L215" s="586"/>
      <c r="M215" s="587" t="str">
        <f>IF(VLOOKUP($A215,'Pre-Assessment Estimator'!$A$10:$Z$224,M$2,FALSE)=0,"",VLOOKUP($A215,'Pre-Assessment Estimator'!$A$10:$Z$224,M$2,FALSE))</f>
        <v/>
      </c>
      <c r="N215" s="582">
        <f>VLOOKUP($A215,'Pre-Assessment Estimator'!$A$10:$Z$224,N$2,FALSE)</f>
        <v>0</v>
      </c>
      <c r="O215" s="581" t="str">
        <f>VLOOKUP($A215,'Pre-Assessment Estimator'!$A$10:$Z$224,O$2,FALSE)</f>
        <v>N/A</v>
      </c>
      <c r="P215" s="584" t="str">
        <f>IF(VLOOKUP($A215,'Pre-Assessment Estimator'!$A$10:$Z$224,P$2,FALSE)=0,"",VLOOKUP($A215,'Pre-Assessment Estimator'!$A$10:$Z$224,P$2,FALSE))</f>
        <v/>
      </c>
      <c r="Q215" s="584" t="str">
        <f>IF(VLOOKUP($A215,'Pre-Assessment Estimator'!$A$10:$Z$224,Q$2,FALSE)=0,"",VLOOKUP($A215,'Pre-Assessment Estimator'!$A$10:$Z$224,Q$2,FALSE))</f>
        <v/>
      </c>
      <c r="R215" s="585" t="str">
        <f>IF(VLOOKUP($A215,'Pre-Assessment Estimator'!$A$10:$Z$224,R$2,FALSE)=0,"",VLOOKUP($A215,'Pre-Assessment Estimator'!$A$10:$Z$224,R$2,FALSE))</f>
        <v/>
      </c>
      <c r="S215" s="588"/>
      <c r="T215" s="587" t="str">
        <f>IF(VLOOKUP($A215,'Pre-Assessment Estimator'!$A$10:$Z$224,T$2,FALSE)=0,"",VLOOKUP($A215,'Pre-Assessment Estimator'!$A$10:$Z$224,T$2,FALSE))</f>
        <v/>
      </c>
      <c r="U215" s="582">
        <f>VLOOKUP($A215,'Pre-Assessment Estimator'!$A$10:$Z$224,U$2,FALSE)</f>
        <v>0</v>
      </c>
      <c r="V215" s="581" t="str">
        <f>VLOOKUP($A215,'Pre-Assessment Estimator'!$A$10:$Z$224,V$2,FALSE)</f>
        <v>N/A</v>
      </c>
      <c r="W215" s="584" t="str">
        <f>IF(VLOOKUP($A215,'Pre-Assessment Estimator'!$A$10:$Z$224,W$2,FALSE)=0,"",VLOOKUP($A215,'Pre-Assessment Estimator'!$A$10:$Z$224,W$2,FALSE))</f>
        <v/>
      </c>
      <c r="X215" s="584" t="str">
        <f>IF(VLOOKUP($A215,'Pre-Assessment Estimator'!$A$10:$Z$224,X$2,FALSE)=0,"",VLOOKUP($A215,'Pre-Assessment Estimator'!$A$10:$Z$224,X$2,FALSE))</f>
        <v/>
      </c>
      <c r="Y215" s="370" t="str">
        <f>IF(VLOOKUP($A215,'Pre-Assessment Estimator'!$A$10:$Z$224,Y$2,FALSE)=0,"",VLOOKUP($A215,'Pre-Assessment Estimator'!$A$10:$Z$224,Y$2,FALSE))</f>
        <v/>
      </c>
      <c r="Z215" s="705"/>
      <c r="AA215" s="584"/>
      <c r="AE215" s="386">
        <f t="shared" si="3"/>
        <v>1</v>
      </c>
      <c r="AF215" s="95" t="e">
        <f>VLOOKUP(J215,'Assessment Details'!$O$45:$P$48,2,FALSE)</f>
        <v>#N/A</v>
      </c>
      <c r="AG215" s="95" t="e">
        <f>VLOOKUP(Q215,'Assessment Details'!$O$45:$P$48,2,FALSE)</f>
        <v>#N/A</v>
      </c>
      <c r="AH215" s="95" t="e">
        <f>VLOOKUP(X215,'Assessment Details'!$O$45:$P$48,2,FALSE)</f>
        <v>#N/A</v>
      </c>
    </row>
    <row r="216" spans="1:34" x14ac:dyDescent="0.25">
      <c r="A216" s="836">
        <v>207</v>
      </c>
      <c r="B216" s="1262" t="s">
        <v>219</v>
      </c>
      <c r="C216" s="1262"/>
      <c r="D216" s="340" t="str">
        <f>VLOOKUP($A216,'Pre-Assessment Estimator'!$A$10:$Z$224,D$2,FALSE)</f>
        <v>Inn 07 - Wat 01: Highly water efficient components</v>
      </c>
      <c r="E216" s="581">
        <f>VLOOKUP($A216,'Pre-Assessment Estimator'!$A$10:$Z$224,E$2,FALSE)</f>
        <v>1</v>
      </c>
      <c r="F216" s="587" t="str">
        <f>IF(VLOOKUP($A216,'Pre-Assessment Estimator'!$A$10:$Z$224,F$2,FALSE)=0,"",VLOOKUP($A216,'Pre-Assessment Estimator'!$A$10:$Z$224,F$2,FALSE))</f>
        <v/>
      </c>
      <c r="G216" s="1239">
        <f>VLOOKUP($A216,'Pre-Assessment Estimator'!$A$10:$Z$224,G$2,FALSE)</f>
        <v>0</v>
      </c>
      <c r="H216" s="583" t="str">
        <f>VLOOKUP($A216,'Pre-Assessment Estimator'!$A$10:$Z$224,H$2,FALSE)</f>
        <v>N/A</v>
      </c>
      <c r="I216" s="584" t="str">
        <f>IF(VLOOKUP($A216,'Pre-Assessment Estimator'!$A$10:$Z$224,I$2,FALSE)=0,"",VLOOKUP($A216,'Pre-Assessment Estimator'!$A$10:$Z$224,I$2,FALSE))</f>
        <v/>
      </c>
      <c r="J216" s="584" t="str">
        <f>IF(VLOOKUP($A216,'Pre-Assessment Estimator'!$A$10:$Z$224,J$2,FALSE)=0,"",VLOOKUP($A216,'Pre-Assessment Estimator'!$A$10:$Z$224,J$2,FALSE))</f>
        <v/>
      </c>
      <c r="K216" s="585" t="str">
        <f>IF(VLOOKUP($A216,'Pre-Assessment Estimator'!$A$10:$Z$224,K$2,FALSE)=0,"",VLOOKUP($A216,'Pre-Assessment Estimator'!$A$10:$Z$224,K$2,FALSE))</f>
        <v/>
      </c>
      <c r="L216" s="586"/>
      <c r="M216" s="587" t="str">
        <f>IF(VLOOKUP($A216,'Pre-Assessment Estimator'!$A$10:$Z$224,M$2,FALSE)=0,"",VLOOKUP($A216,'Pre-Assessment Estimator'!$A$10:$Z$224,M$2,FALSE))</f>
        <v/>
      </c>
      <c r="N216" s="582">
        <f>VLOOKUP($A216,'Pre-Assessment Estimator'!$A$10:$Z$224,N$2,FALSE)</f>
        <v>0</v>
      </c>
      <c r="O216" s="581" t="str">
        <f>VLOOKUP($A216,'Pre-Assessment Estimator'!$A$10:$Z$224,O$2,FALSE)</f>
        <v>N/A</v>
      </c>
      <c r="P216" s="584" t="str">
        <f>IF(VLOOKUP($A216,'Pre-Assessment Estimator'!$A$10:$Z$224,P$2,FALSE)=0,"",VLOOKUP($A216,'Pre-Assessment Estimator'!$A$10:$Z$224,P$2,FALSE))</f>
        <v/>
      </c>
      <c r="Q216" s="584" t="str">
        <f>IF(VLOOKUP($A216,'Pre-Assessment Estimator'!$A$10:$Z$224,Q$2,FALSE)=0,"",VLOOKUP($A216,'Pre-Assessment Estimator'!$A$10:$Z$224,Q$2,FALSE))</f>
        <v/>
      </c>
      <c r="R216" s="585" t="str">
        <f>IF(VLOOKUP($A216,'Pre-Assessment Estimator'!$A$10:$Z$224,R$2,FALSE)=0,"",VLOOKUP($A216,'Pre-Assessment Estimator'!$A$10:$Z$224,R$2,FALSE))</f>
        <v/>
      </c>
      <c r="S216" s="588"/>
      <c r="T216" s="587" t="str">
        <f>IF(VLOOKUP($A216,'Pre-Assessment Estimator'!$A$10:$Z$224,T$2,FALSE)=0,"",VLOOKUP($A216,'Pre-Assessment Estimator'!$A$10:$Z$224,T$2,FALSE))</f>
        <v/>
      </c>
      <c r="U216" s="582">
        <f>VLOOKUP($A216,'Pre-Assessment Estimator'!$A$10:$Z$224,U$2,FALSE)</f>
        <v>0</v>
      </c>
      <c r="V216" s="581" t="str">
        <f>VLOOKUP($A216,'Pre-Assessment Estimator'!$A$10:$Z$224,V$2,FALSE)</f>
        <v>N/A</v>
      </c>
      <c r="W216" s="584" t="str">
        <f>IF(VLOOKUP($A216,'Pre-Assessment Estimator'!$A$10:$Z$224,W$2,FALSE)=0,"",VLOOKUP($A216,'Pre-Assessment Estimator'!$A$10:$Z$224,W$2,FALSE))</f>
        <v/>
      </c>
      <c r="X216" s="584" t="str">
        <f>IF(VLOOKUP($A216,'Pre-Assessment Estimator'!$A$10:$Z$224,X$2,FALSE)=0,"",VLOOKUP($A216,'Pre-Assessment Estimator'!$A$10:$Z$224,X$2,FALSE))</f>
        <v/>
      </c>
      <c r="Y216" s="370" t="str">
        <f>IF(VLOOKUP($A216,'Pre-Assessment Estimator'!$A$10:$Z$224,Y$2,FALSE)=0,"",VLOOKUP($A216,'Pre-Assessment Estimator'!$A$10:$Z$224,Y$2,FALSE))</f>
        <v/>
      </c>
      <c r="Z216" s="705"/>
      <c r="AA216" s="584" t="str">
        <f>IF(VLOOKUP($A216,'Pre-Assessment Estimator'!$A$10:$AB$224,AA$2,FALSE)=0,"",VLOOKUP($A216,'Pre-Assessment Estimator'!$A$10:$AB$224,AA$2,FALSE))</f>
        <v/>
      </c>
      <c r="AE216" s="386">
        <f t="shared" si="3"/>
        <v>1</v>
      </c>
      <c r="AF216" s="95" t="e">
        <f>VLOOKUP(J216,'Assessment Details'!$O$45:$P$48,2,FALSE)</f>
        <v>#N/A</v>
      </c>
      <c r="AG216" s="95" t="e">
        <f>VLOOKUP(Q216,'Assessment Details'!$O$45:$P$48,2,FALSE)</f>
        <v>#N/A</v>
      </c>
      <c r="AH216" s="95" t="e">
        <f>VLOOKUP(X216,'Assessment Details'!$O$45:$P$48,2,FALSE)</f>
        <v>#N/A</v>
      </c>
    </row>
    <row r="217" spans="1:34" ht="30" x14ac:dyDescent="0.25">
      <c r="A217" s="836">
        <v>208</v>
      </c>
      <c r="B217" s="1262" t="s">
        <v>219</v>
      </c>
      <c r="C217" s="1262"/>
      <c r="D217" s="340" t="str">
        <f>VLOOKUP($A217,'Pre-Assessment Estimator'!$A$10:$Z$224,D$2,FALSE)</f>
        <v xml:space="preserve">Inn 08 - Mat 01: 60% reduction of greenhouse gas emission </v>
      </c>
      <c r="E217" s="581">
        <f>VLOOKUP($A217,'Pre-Assessment Estimator'!$A$10:$Z$224,E$2,FALSE)</f>
        <v>1</v>
      </c>
      <c r="F217" s="587" t="str">
        <f>IF(VLOOKUP($A217,'Pre-Assessment Estimator'!$A$10:$Z$224,F$2,FALSE)=0,"",VLOOKUP($A217,'Pre-Assessment Estimator'!$A$10:$Z$224,F$2,FALSE))</f>
        <v/>
      </c>
      <c r="G217" s="1239">
        <f>VLOOKUP($A217,'Pre-Assessment Estimator'!$A$10:$Z$224,G$2,FALSE)</f>
        <v>0</v>
      </c>
      <c r="H217" s="583" t="str">
        <f>VLOOKUP($A217,'Pre-Assessment Estimator'!$A$10:$Z$224,H$2,FALSE)</f>
        <v>N/A</v>
      </c>
      <c r="I217" s="584" t="str">
        <f>IF(VLOOKUP($A217,'Pre-Assessment Estimator'!$A$10:$Z$224,I$2,FALSE)=0,"",VLOOKUP($A217,'Pre-Assessment Estimator'!$A$10:$Z$224,I$2,FALSE))</f>
        <v/>
      </c>
      <c r="J217" s="584" t="str">
        <f>IF(VLOOKUP($A217,'Pre-Assessment Estimator'!$A$10:$Z$224,J$2,FALSE)=0,"",VLOOKUP($A217,'Pre-Assessment Estimator'!$A$10:$Z$224,J$2,FALSE))</f>
        <v/>
      </c>
      <c r="K217" s="585" t="str">
        <f>IF(VLOOKUP($A217,'Pre-Assessment Estimator'!$A$10:$Z$224,K$2,FALSE)=0,"",VLOOKUP($A217,'Pre-Assessment Estimator'!$A$10:$Z$224,K$2,FALSE))</f>
        <v/>
      </c>
      <c r="L217" s="586"/>
      <c r="M217" s="587" t="str">
        <f>IF(VLOOKUP($A217,'Pre-Assessment Estimator'!$A$10:$Z$224,M$2,FALSE)=0,"",VLOOKUP($A217,'Pre-Assessment Estimator'!$A$10:$Z$224,M$2,FALSE))</f>
        <v/>
      </c>
      <c r="N217" s="582">
        <f>VLOOKUP($A217,'Pre-Assessment Estimator'!$A$10:$Z$224,N$2,FALSE)</f>
        <v>0</v>
      </c>
      <c r="O217" s="581" t="str">
        <f>VLOOKUP($A217,'Pre-Assessment Estimator'!$A$10:$Z$224,O$2,FALSE)</f>
        <v>N/A</v>
      </c>
      <c r="P217" s="584" t="str">
        <f>IF(VLOOKUP($A217,'Pre-Assessment Estimator'!$A$10:$Z$224,P$2,FALSE)=0,"",VLOOKUP($A217,'Pre-Assessment Estimator'!$A$10:$Z$224,P$2,FALSE))</f>
        <v/>
      </c>
      <c r="Q217" s="584" t="str">
        <f>IF(VLOOKUP($A217,'Pre-Assessment Estimator'!$A$10:$Z$224,Q$2,FALSE)=0,"",VLOOKUP($A217,'Pre-Assessment Estimator'!$A$10:$Z$224,Q$2,FALSE))</f>
        <v/>
      </c>
      <c r="R217" s="585" t="str">
        <f>IF(VLOOKUP($A217,'Pre-Assessment Estimator'!$A$10:$Z$224,R$2,FALSE)=0,"",VLOOKUP($A217,'Pre-Assessment Estimator'!$A$10:$Z$224,R$2,FALSE))</f>
        <v/>
      </c>
      <c r="S217" s="588"/>
      <c r="T217" s="587" t="str">
        <f>IF(VLOOKUP($A217,'Pre-Assessment Estimator'!$A$10:$Z$224,T$2,FALSE)=0,"",VLOOKUP($A217,'Pre-Assessment Estimator'!$A$10:$Z$224,T$2,FALSE))</f>
        <v/>
      </c>
      <c r="U217" s="582">
        <f>VLOOKUP($A217,'Pre-Assessment Estimator'!$A$10:$Z$224,U$2,FALSE)</f>
        <v>0</v>
      </c>
      <c r="V217" s="581" t="str">
        <f>VLOOKUP($A217,'Pre-Assessment Estimator'!$A$10:$Z$224,V$2,FALSE)</f>
        <v>N/A</v>
      </c>
      <c r="W217" s="584" t="str">
        <f>IF(VLOOKUP($A217,'Pre-Assessment Estimator'!$A$10:$Z$224,W$2,FALSE)=0,"",VLOOKUP($A217,'Pre-Assessment Estimator'!$A$10:$Z$224,W$2,FALSE))</f>
        <v/>
      </c>
      <c r="X217" s="584" t="str">
        <f>IF(VLOOKUP($A217,'Pre-Assessment Estimator'!$A$10:$Z$224,X$2,FALSE)=0,"",VLOOKUP($A217,'Pre-Assessment Estimator'!$A$10:$Z$224,X$2,FALSE))</f>
        <v/>
      </c>
      <c r="Y217" s="370" t="str">
        <f>IF(VLOOKUP($A217,'Pre-Assessment Estimator'!$A$10:$Z$224,Y$2,FALSE)=0,"",VLOOKUP($A217,'Pre-Assessment Estimator'!$A$10:$Z$224,Y$2,FALSE))</f>
        <v/>
      </c>
      <c r="Z217" s="705"/>
      <c r="AA217" s="584" t="str">
        <f>IF(VLOOKUP($A217,'Pre-Assessment Estimator'!$A$10:$AB$224,AA$2,FALSE)=0,"",VLOOKUP($A217,'Pre-Assessment Estimator'!$A$10:$AB$224,AA$2,FALSE))</f>
        <v/>
      </c>
      <c r="AE217" s="386">
        <f t="shared" si="3"/>
        <v>1</v>
      </c>
      <c r="AF217" s="95" t="e">
        <f>VLOOKUP(J217,'Assessment Details'!$O$45:$P$48,2,FALSE)</f>
        <v>#N/A</v>
      </c>
      <c r="AG217" s="95" t="e">
        <f>VLOOKUP(Q217,'Assessment Details'!$O$45:$P$48,2,FALSE)</f>
        <v>#N/A</v>
      </c>
      <c r="AH217" s="95" t="e">
        <f>VLOOKUP(X217,'Assessment Details'!$O$45:$P$48,2,FALSE)</f>
        <v>#N/A</v>
      </c>
    </row>
    <row r="218" spans="1:34" ht="30" x14ac:dyDescent="0.25">
      <c r="A218" s="836">
        <v>209</v>
      </c>
      <c r="B218" s="1262" t="s">
        <v>219</v>
      </c>
      <c r="C218" s="1262"/>
      <c r="D218" s="340" t="str">
        <f>VLOOKUP($A218,'Pre-Assessment Estimator'!$A$10:$Z$224,D$2,FALSE)</f>
        <v>Inn 09 - Mat 06: FutureBuilt criteria set for circular buildings, point 2.3 reuse of building components</v>
      </c>
      <c r="E218" s="581">
        <f>VLOOKUP($A218,'Pre-Assessment Estimator'!$A$10:$Z$224,E$2,FALSE)</f>
        <v>1</v>
      </c>
      <c r="F218" s="587" t="str">
        <f>IF(VLOOKUP($A218,'Pre-Assessment Estimator'!$A$10:$Z$224,F$2,FALSE)=0,"",VLOOKUP($A218,'Pre-Assessment Estimator'!$A$10:$Z$224,F$2,FALSE))</f>
        <v/>
      </c>
      <c r="G218" s="1239">
        <f>VLOOKUP($A218,'Pre-Assessment Estimator'!$A$10:$Z$224,G$2,FALSE)</f>
        <v>0</v>
      </c>
      <c r="H218" s="583" t="str">
        <f>VLOOKUP($A218,'Pre-Assessment Estimator'!$A$10:$Z$224,H$2,FALSE)</f>
        <v>N/A</v>
      </c>
      <c r="I218" s="584" t="str">
        <f>IF(VLOOKUP($A218,'Pre-Assessment Estimator'!$A$10:$Z$224,I$2,FALSE)=0,"",VLOOKUP($A218,'Pre-Assessment Estimator'!$A$10:$Z$224,I$2,FALSE))</f>
        <v/>
      </c>
      <c r="J218" s="584" t="str">
        <f>IF(VLOOKUP($A218,'Pre-Assessment Estimator'!$A$10:$Z$224,J$2,FALSE)=0,"",VLOOKUP($A218,'Pre-Assessment Estimator'!$A$10:$Z$224,J$2,FALSE))</f>
        <v/>
      </c>
      <c r="K218" s="585" t="str">
        <f>IF(VLOOKUP($A218,'Pre-Assessment Estimator'!$A$10:$Z$224,K$2,FALSE)=0,"",VLOOKUP($A218,'Pre-Assessment Estimator'!$A$10:$Z$224,K$2,FALSE))</f>
        <v/>
      </c>
      <c r="L218" s="586"/>
      <c r="M218" s="587" t="str">
        <f>IF(VLOOKUP($A218,'Pre-Assessment Estimator'!$A$10:$Z$224,M$2,FALSE)=0,"",VLOOKUP($A218,'Pre-Assessment Estimator'!$A$10:$Z$224,M$2,FALSE))</f>
        <v/>
      </c>
      <c r="N218" s="582">
        <f>VLOOKUP($A218,'Pre-Assessment Estimator'!$A$10:$Z$224,N$2,FALSE)</f>
        <v>0</v>
      </c>
      <c r="O218" s="581" t="str">
        <f>VLOOKUP($A218,'Pre-Assessment Estimator'!$A$10:$Z$224,O$2,FALSE)</f>
        <v>N/A</v>
      </c>
      <c r="P218" s="584" t="str">
        <f>IF(VLOOKUP($A218,'Pre-Assessment Estimator'!$A$10:$Z$224,P$2,FALSE)=0,"",VLOOKUP($A218,'Pre-Assessment Estimator'!$A$10:$Z$224,P$2,FALSE))</f>
        <v/>
      </c>
      <c r="Q218" s="584" t="str">
        <f>IF(VLOOKUP($A218,'Pre-Assessment Estimator'!$A$10:$Z$224,Q$2,FALSE)=0,"",VLOOKUP($A218,'Pre-Assessment Estimator'!$A$10:$Z$224,Q$2,FALSE))</f>
        <v/>
      </c>
      <c r="R218" s="585" t="str">
        <f>IF(VLOOKUP($A218,'Pre-Assessment Estimator'!$A$10:$Z$224,R$2,FALSE)=0,"",VLOOKUP($A218,'Pre-Assessment Estimator'!$A$10:$Z$224,R$2,FALSE))</f>
        <v/>
      </c>
      <c r="S218" s="588"/>
      <c r="T218" s="587" t="str">
        <f>IF(VLOOKUP($A218,'Pre-Assessment Estimator'!$A$10:$Z$224,T$2,FALSE)=0,"",VLOOKUP($A218,'Pre-Assessment Estimator'!$A$10:$Z$224,T$2,FALSE))</f>
        <v/>
      </c>
      <c r="U218" s="582">
        <f>VLOOKUP($A218,'Pre-Assessment Estimator'!$A$10:$Z$224,U$2,FALSE)</f>
        <v>0</v>
      </c>
      <c r="V218" s="581" t="str">
        <f>VLOOKUP($A218,'Pre-Assessment Estimator'!$A$10:$Z$224,V$2,FALSE)</f>
        <v>N/A</v>
      </c>
      <c r="W218" s="584" t="str">
        <f>IF(VLOOKUP($A218,'Pre-Assessment Estimator'!$A$10:$Z$224,W$2,FALSE)=0,"",VLOOKUP($A218,'Pre-Assessment Estimator'!$A$10:$Z$224,W$2,FALSE))</f>
        <v/>
      </c>
      <c r="X218" s="584" t="str">
        <f>IF(VLOOKUP($A218,'Pre-Assessment Estimator'!$A$10:$Z$224,X$2,FALSE)=0,"",VLOOKUP($A218,'Pre-Assessment Estimator'!$A$10:$Z$224,X$2,FALSE))</f>
        <v/>
      </c>
      <c r="Y218" s="370" t="str">
        <f>IF(VLOOKUP($A218,'Pre-Assessment Estimator'!$A$10:$Z$224,Y$2,FALSE)=0,"",VLOOKUP($A218,'Pre-Assessment Estimator'!$A$10:$Z$224,Y$2,FALSE))</f>
        <v/>
      </c>
      <c r="Z218" s="705"/>
      <c r="AA218" s="584" t="str">
        <f>IF(VLOOKUP($A218,'Pre-Assessment Estimator'!$A$10:$AB$224,AA$2,FALSE)=0,"",VLOOKUP($A218,'Pre-Assessment Estimator'!$A$10:$AB$224,AA$2,FALSE))</f>
        <v/>
      </c>
      <c r="AE218" s="386">
        <f t="shared" si="3"/>
        <v>1</v>
      </c>
      <c r="AF218" s="95" t="e">
        <f>VLOOKUP(J218,'Assessment Details'!$O$45:$P$48,2,FALSE)</f>
        <v>#N/A</v>
      </c>
      <c r="AG218" s="95" t="e">
        <f>VLOOKUP(Q218,'Assessment Details'!$O$45:$P$48,2,FALSE)</f>
        <v>#N/A</v>
      </c>
      <c r="AH218" s="95" t="e">
        <f>VLOOKUP(X218,'Assessment Details'!$O$45:$P$48,2,FALSE)</f>
        <v>#N/A</v>
      </c>
    </row>
    <row r="219" spans="1:34" ht="30" x14ac:dyDescent="0.25">
      <c r="A219" s="836">
        <v>210</v>
      </c>
      <c r="B219" s="1262" t="s">
        <v>219</v>
      </c>
      <c r="C219" s="1262"/>
      <c r="D219" s="340" t="str">
        <f>VLOOKUP($A219,'Pre-Assessment Estimator'!$A$10:$Z$224,D$2,FALSE)</f>
        <v xml:space="preserve">Inn 10 - Wst 01: Especially low amount of construction waste </v>
      </c>
      <c r="E219" s="581">
        <f>VLOOKUP($A219,'Pre-Assessment Estimator'!$A$10:$Z$224,E$2,FALSE)</f>
        <v>1</v>
      </c>
      <c r="F219" s="587" t="str">
        <f>IF(VLOOKUP($A219,'Pre-Assessment Estimator'!$A$10:$Z$224,F$2,FALSE)=0,"",VLOOKUP($A219,'Pre-Assessment Estimator'!$A$10:$Z$224,F$2,FALSE))</f>
        <v/>
      </c>
      <c r="G219" s="1239">
        <f>VLOOKUP($A219,'Pre-Assessment Estimator'!$A$10:$Z$224,G$2,FALSE)</f>
        <v>0</v>
      </c>
      <c r="H219" s="583" t="str">
        <f>VLOOKUP($A219,'Pre-Assessment Estimator'!$A$10:$Z$224,H$2,FALSE)</f>
        <v>N/A</v>
      </c>
      <c r="I219" s="584" t="str">
        <f>IF(VLOOKUP($A219,'Pre-Assessment Estimator'!$A$10:$Z$224,I$2,FALSE)=0,"",VLOOKUP($A219,'Pre-Assessment Estimator'!$A$10:$Z$224,I$2,FALSE))</f>
        <v/>
      </c>
      <c r="J219" s="584" t="str">
        <f>IF(VLOOKUP($A219,'Pre-Assessment Estimator'!$A$10:$Z$224,J$2,FALSE)=0,"",VLOOKUP($A219,'Pre-Assessment Estimator'!$A$10:$Z$224,J$2,FALSE))</f>
        <v/>
      </c>
      <c r="K219" s="585" t="str">
        <f>IF(VLOOKUP($A219,'Pre-Assessment Estimator'!$A$10:$Z$224,K$2,FALSE)=0,"",VLOOKUP($A219,'Pre-Assessment Estimator'!$A$10:$Z$224,K$2,FALSE))</f>
        <v/>
      </c>
      <c r="L219" s="586"/>
      <c r="M219" s="587" t="str">
        <f>IF(VLOOKUP($A219,'Pre-Assessment Estimator'!$A$10:$Z$224,M$2,FALSE)=0,"",VLOOKUP($A219,'Pre-Assessment Estimator'!$A$10:$Z$224,M$2,FALSE))</f>
        <v/>
      </c>
      <c r="N219" s="582">
        <f>VLOOKUP($A219,'Pre-Assessment Estimator'!$A$10:$Z$224,N$2,FALSE)</f>
        <v>0</v>
      </c>
      <c r="O219" s="581" t="str">
        <f>VLOOKUP($A219,'Pre-Assessment Estimator'!$A$10:$Z$224,O$2,FALSE)</f>
        <v>N/A</v>
      </c>
      <c r="P219" s="584" t="str">
        <f>IF(VLOOKUP($A219,'Pre-Assessment Estimator'!$A$10:$Z$224,P$2,FALSE)=0,"",VLOOKUP($A219,'Pre-Assessment Estimator'!$A$10:$Z$224,P$2,FALSE))</f>
        <v/>
      </c>
      <c r="Q219" s="584" t="str">
        <f>IF(VLOOKUP($A219,'Pre-Assessment Estimator'!$A$10:$Z$224,Q$2,FALSE)=0,"",VLOOKUP($A219,'Pre-Assessment Estimator'!$A$10:$Z$224,Q$2,FALSE))</f>
        <v/>
      </c>
      <c r="R219" s="585" t="str">
        <f>IF(VLOOKUP($A219,'Pre-Assessment Estimator'!$A$10:$Z$224,R$2,FALSE)=0,"",VLOOKUP($A219,'Pre-Assessment Estimator'!$A$10:$Z$224,R$2,FALSE))</f>
        <v/>
      </c>
      <c r="S219" s="588"/>
      <c r="T219" s="587" t="str">
        <f>IF(VLOOKUP($A219,'Pre-Assessment Estimator'!$A$10:$Z$224,T$2,FALSE)=0,"",VLOOKUP($A219,'Pre-Assessment Estimator'!$A$10:$Z$224,T$2,FALSE))</f>
        <v/>
      </c>
      <c r="U219" s="582">
        <f>VLOOKUP($A219,'Pre-Assessment Estimator'!$A$10:$Z$224,U$2,FALSE)</f>
        <v>0</v>
      </c>
      <c r="V219" s="581" t="str">
        <f>VLOOKUP($A219,'Pre-Assessment Estimator'!$A$10:$Z$224,V$2,FALSE)</f>
        <v>N/A</v>
      </c>
      <c r="W219" s="584" t="str">
        <f>IF(VLOOKUP($A219,'Pre-Assessment Estimator'!$A$10:$Z$224,W$2,FALSE)=0,"",VLOOKUP($A219,'Pre-Assessment Estimator'!$A$10:$Z$224,W$2,FALSE))</f>
        <v/>
      </c>
      <c r="X219" s="584" t="str">
        <f>IF(VLOOKUP($A219,'Pre-Assessment Estimator'!$A$10:$Z$224,X$2,FALSE)=0,"",VLOOKUP($A219,'Pre-Assessment Estimator'!$A$10:$Z$224,X$2,FALSE))</f>
        <v/>
      </c>
      <c r="Y219" s="370" t="str">
        <f>IF(VLOOKUP($A219,'Pre-Assessment Estimator'!$A$10:$Z$224,Y$2,FALSE)=0,"",VLOOKUP($A219,'Pre-Assessment Estimator'!$A$10:$Z$224,Y$2,FALSE))</f>
        <v/>
      </c>
      <c r="Z219" s="705"/>
      <c r="AA219" s="584" t="str">
        <f>IF(VLOOKUP($A219,'Pre-Assessment Estimator'!$A$10:$AB$224,AA$2,FALSE)=0,"",VLOOKUP($A219,'Pre-Assessment Estimator'!$A$10:$AB$224,AA$2,FALSE))</f>
        <v/>
      </c>
      <c r="AE219" s="386">
        <f t="shared" si="3"/>
        <v>1</v>
      </c>
      <c r="AF219" s="95" t="e">
        <f>VLOOKUP(J219,'Assessment Details'!$O$45:$P$48,2,FALSE)</f>
        <v>#N/A</v>
      </c>
      <c r="AG219" s="95" t="e">
        <f>VLOOKUP(Q219,'Assessment Details'!$O$45:$P$48,2,FALSE)</f>
        <v>#N/A</v>
      </c>
      <c r="AH219" s="95" t="e">
        <f>VLOOKUP(X219,'Assessment Details'!$O$45:$P$48,2,FALSE)</f>
        <v>#N/A</v>
      </c>
    </row>
    <row r="220" spans="1:34" x14ac:dyDescent="0.25">
      <c r="A220" s="836">
        <v>211</v>
      </c>
      <c r="B220" s="1262" t="s">
        <v>219</v>
      </c>
      <c r="C220" s="1262"/>
      <c r="D220" s="340" t="str">
        <f>VLOOKUP($A220,'Pre-Assessment Estimator'!$A$10:$Z$224,D$2,FALSE)</f>
        <v>Inn 11 - LE 02: Wider sustainability for the site</v>
      </c>
      <c r="E220" s="581">
        <f>VLOOKUP($A220,'Pre-Assessment Estimator'!$A$10:$Z$224,E$2,FALSE)</f>
        <v>1</v>
      </c>
      <c r="F220" s="587" t="str">
        <f>IF(VLOOKUP($A220,'Pre-Assessment Estimator'!$A$10:$Z$224,F$2,FALSE)=0,"",VLOOKUP($A220,'Pre-Assessment Estimator'!$A$10:$Z$224,F$2,FALSE))</f>
        <v/>
      </c>
      <c r="G220" s="1239">
        <f>VLOOKUP($A220,'Pre-Assessment Estimator'!$A$10:$Z$224,G$2,FALSE)</f>
        <v>0</v>
      </c>
      <c r="H220" s="583" t="str">
        <f>VLOOKUP($A220,'Pre-Assessment Estimator'!$A$10:$Z$224,H$2,FALSE)</f>
        <v>N/A</v>
      </c>
      <c r="I220" s="584" t="str">
        <f>IF(VLOOKUP($A220,'Pre-Assessment Estimator'!$A$10:$Z$224,I$2,FALSE)=0,"",VLOOKUP($A220,'Pre-Assessment Estimator'!$A$10:$Z$224,I$2,FALSE))</f>
        <v/>
      </c>
      <c r="J220" s="584" t="str">
        <f>IF(VLOOKUP($A220,'Pre-Assessment Estimator'!$A$10:$Z$224,J$2,FALSE)=0,"",VLOOKUP($A220,'Pre-Assessment Estimator'!$A$10:$Z$224,J$2,FALSE))</f>
        <v/>
      </c>
      <c r="K220" s="585" t="str">
        <f>IF(VLOOKUP($A220,'Pre-Assessment Estimator'!$A$10:$Z$224,K$2,FALSE)=0,"",VLOOKUP($A220,'Pre-Assessment Estimator'!$A$10:$Z$224,K$2,FALSE))</f>
        <v/>
      </c>
      <c r="L220" s="586"/>
      <c r="M220" s="587" t="str">
        <f>IF(VLOOKUP($A220,'Pre-Assessment Estimator'!$A$10:$Z$224,M$2,FALSE)=0,"",VLOOKUP($A220,'Pre-Assessment Estimator'!$A$10:$Z$224,M$2,FALSE))</f>
        <v/>
      </c>
      <c r="N220" s="582">
        <f>VLOOKUP($A220,'Pre-Assessment Estimator'!$A$10:$Z$224,N$2,FALSE)</f>
        <v>0</v>
      </c>
      <c r="O220" s="581" t="str">
        <f>VLOOKUP($A220,'Pre-Assessment Estimator'!$A$10:$Z$224,O$2,FALSE)</f>
        <v>N/A</v>
      </c>
      <c r="P220" s="584" t="str">
        <f>IF(VLOOKUP($A220,'Pre-Assessment Estimator'!$A$10:$Z$224,P$2,FALSE)=0,"",VLOOKUP($A220,'Pre-Assessment Estimator'!$A$10:$Z$224,P$2,FALSE))</f>
        <v/>
      </c>
      <c r="Q220" s="584" t="str">
        <f>IF(VLOOKUP($A220,'Pre-Assessment Estimator'!$A$10:$Z$224,Q$2,FALSE)=0,"",VLOOKUP($A220,'Pre-Assessment Estimator'!$A$10:$Z$224,Q$2,FALSE))</f>
        <v/>
      </c>
      <c r="R220" s="585" t="str">
        <f>IF(VLOOKUP($A220,'Pre-Assessment Estimator'!$A$10:$Z$224,R$2,FALSE)=0,"",VLOOKUP($A220,'Pre-Assessment Estimator'!$A$10:$Z$224,R$2,FALSE))</f>
        <v/>
      </c>
      <c r="S220" s="588"/>
      <c r="T220" s="587" t="str">
        <f>IF(VLOOKUP($A220,'Pre-Assessment Estimator'!$A$10:$Z$224,T$2,FALSE)=0,"",VLOOKUP($A220,'Pre-Assessment Estimator'!$A$10:$Z$224,T$2,FALSE))</f>
        <v/>
      </c>
      <c r="U220" s="582">
        <f>VLOOKUP($A220,'Pre-Assessment Estimator'!$A$10:$Z$224,U$2,FALSE)</f>
        <v>0</v>
      </c>
      <c r="V220" s="581" t="str">
        <f>VLOOKUP($A220,'Pre-Assessment Estimator'!$A$10:$Z$224,V$2,FALSE)</f>
        <v>N/A</v>
      </c>
      <c r="W220" s="584" t="str">
        <f>IF(VLOOKUP($A220,'Pre-Assessment Estimator'!$A$10:$Z$224,W$2,FALSE)=0,"",VLOOKUP($A220,'Pre-Assessment Estimator'!$A$10:$Z$224,W$2,FALSE))</f>
        <v/>
      </c>
      <c r="X220" s="584" t="str">
        <f>IF(VLOOKUP($A220,'Pre-Assessment Estimator'!$A$10:$Z$224,X$2,FALSE)=0,"",VLOOKUP($A220,'Pre-Assessment Estimator'!$A$10:$Z$224,X$2,FALSE))</f>
        <v/>
      </c>
      <c r="Y220" s="370" t="str">
        <f>IF(VLOOKUP($A220,'Pre-Assessment Estimator'!$A$10:$Z$224,Y$2,FALSE)=0,"",VLOOKUP($A220,'Pre-Assessment Estimator'!$A$10:$Z$224,Y$2,FALSE))</f>
        <v/>
      </c>
      <c r="Z220" s="705"/>
      <c r="AA220" s="584" t="str">
        <f>IF(VLOOKUP($A220,'Pre-Assessment Estimator'!$A$10:$AB$224,AA$2,FALSE)=0,"",VLOOKUP($A220,'Pre-Assessment Estimator'!$A$10:$AB$224,AA$2,FALSE))</f>
        <v/>
      </c>
      <c r="AE220" s="386">
        <f t="shared" si="3"/>
        <v>1</v>
      </c>
      <c r="AF220" s="95" t="e">
        <f>VLOOKUP(J220,'Assessment Details'!$O$45:$P$48,2,FALSE)</f>
        <v>#N/A</v>
      </c>
      <c r="AG220" s="95" t="e">
        <f>VLOOKUP(Q220,'Assessment Details'!$O$45:$P$48,2,FALSE)</f>
        <v>#N/A</v>
      </c>
      <c r="AH220" s="95" t="e">
        <f>VLOOKUP(X220,'Assessment Details'!$O$45:$P$48,2,FALSE)</f>
        <v>#N/A</v>
      </c>
    </row>
    <row r="221" spans="1:34" x14ac:dyDescent="0.25">
      <c r="A221" s="836">
        <v>212</v>
      </c>
      <c r="B221" s="1262" t="s">
        <v>219</v>
      </c>
      <c r="C221" s="1262"/>
      <c r="D221" s="340" t="str">
        <f>VLOOKUP($A221,'Pre-Assessment Estimator'!$A$10:$Z$224,D$2,FALSE)</f>
        <v>Inn 12 - LE 04: Significant net gain of biodiversity</v>
      </c>
      <c r="E221" s="581">
        <f>VLOOKUP($A221,'Pre-Assessment Estimator'!$A$10:$Z$224,E$2,FALSE)</f>
        <v>1</v>
      </c>
      <c r="F221" s="587" t="str">
        <f>IF(VLOOKUP($A221,'Pre-Assessment Estimator'!$A$10:$Z$224,F$2,FALSE)=0,"",VLOOKUP($A221,'Pre-Assessment Estimator'!$A$10:$Z$224,F$2,FALSE))</f>
        <v/>
      </c>
      <c r="G221" s="1239">
        <f>VLOOKUP($A221,'Pre-Assessment Estimator'!$A$10:$Z$224,G$2,FALSE)</f>
        <v>0</v>
      </c>
      <c r="H221" s="583" t="str">
        <f>VLOOKUP($A221,'Pre-Assessment Estimator'!$A$10:$Z$224,H$2,FALSE)</f>
        <v>N/A</v>
      </c>
      <c r="I221" s="584" t="str">
        <f>IF(VLOOKUP($A221,'Pre-Assessment Estimator'!$A$10:$Z$224,I$2,FALSE)=0,"",VLOOKUP($A221,'Pre-Assessment Estimator'!$A$10:$Z$224,I$2,FALSE))</f>
        <v/>
      </c>
      <c r="J221" s="584" t="str">
        <f>IF(VLOOKUP($A221,'Pre-Assessment Estimator'!$A$10:$Z$224,J$2,FALSE)=0,"",VLOOKUP($A221,'Pre-Assessment Estimator'!$A$10:$Z$224,J$2,FALSE))</f>
        <v/>
      </c>
      <c r="K221" s="585" t="str">
        <f>IF(VLOOKUP($A221,'Pre-Assessment Estimator'!$A$10:$Z$224,K$2,FALSE)=0,"",VLOOKUP($A221,'Pre-Assessment Estimator'!$A$10:$Z$224,K$2,FALSE))</f>
        <v/>
      </c>
      <c r="L221" s="586"/>
      <c r="M221" s="587" t="str">
        <f>IF(VLOOKUP($A221,'Pre-Assessment Estimator'!$A$10:$Z$224,M$2,FALSE)=0,"",VLOOKUP($A221,'Pre-Assessment Estimator'!$A$10:$Z$224,M$2,FALSE))</f>
        <v/>
      </c>
      <c r="N221" s="582">
        <f>VLOOKUP($A221,'Pre-Assessment Estimator'!$A$10:$Z$224,N$2,FALSE)</f>
        <v>0</v>
      </c>
      <c r="O221" s="581" t="str">
        <f>VLOOKUP($A221,'Pre-Assessment Estimator'!$A$10:$Z$224,O$2,FALSE)</f>
        <v>N/A</v>
      </c>
      <c r="P221" s="584" t="str">
        <f>IF(VLOOKUP($A221,'Pre-Assessment Estimator'!$A$10:$Z$224,P$2,FALSE)=0,"",VLOOKUP($A221,'Pre-Assessment Estimator'!$A$10:$Z$224,P$2,FALSE))</f>
        <v/>
      </c>
      <c r="Q221" s="584" t="str">
        <f>IF(VLOOKUP($A221,'Pre-Assessment Estimator'!$A$10:$Z$224,Q$2,FALSE)=0,"",VLOOKUP($A221,'Pre-Assessment Estimator'!$A$10:$Z$224,Q$2,FALSE))</f>
        <v/>
      </c>
      <c r="R221" s="585" t="str">
        <f>IF(VLOOKUP($A221,'Pre-Assessment Estimator'!$A$10:$Z$224,R$2,FALSE)=0,"",VLOOKUP($A221,'Pre-Assessment Estimator'!$A$10:$Z$224,R$2,FALSE))</f>
        <v/>
      </c>
      <c r="S221" s="588"/>
      <c r="T221" s="587" t="str">
        <f>IF(VLOOKUP($A221,'Pre-Assessment Estimator'!$A$10:$Z$224,T$2,FALSE)=0,"",VLOOKUP($A221,'Pre-Assessment Estimator'!$A$10:$Z$224,T$2,FALSE))</f>
        <v/>
      </c>
      <c r="U221" s="582">
        <f>VLOOKUP($A221,'Pre-Assessment Estimator'!$A$10:$Z$224,U$2,FALSE)</f>
        <v>0</v>
      </c>
      <c r="V221" s="581" t="str">
        <f>VLOOKUP($A221,'Pre-Assessment Estimator'!$A$10:$Z$224,V$2,FALSE)</f>
        <v>N/A</v>
      </c>
      <c r="W221" s="584" t="str">
        <f>IF(VLOOKUP($A221,'Pre-Assessment Estimator'!$A$10:$Z$224,W$2,FALSE)=0,"",VLOOKUP($A221,'Pre-Assessment Estimator'!$A$10:$Z$224,W$2,FALSE))</f>
        <v/>
      </c>
      <c r="X221" s="584" t="str">
        <f>IF(VLOOKUP($A221,'Pre-Assessment Estimator'!$A$10:$Z$224,X$2,FALSE)=0,"",VLOOKUP($A221,'Pre-Assessment Estimator'!$A$10:$Z$224,X$2,FALSE))</f>
        <v/>
      </c>
      <c r="Y221" s="370" t="str">
        <f>IF(VLOOKUP($A221,'Pre-Assessment Estimator'!$A$10:$Z$224,Y$2,FALSE)=0,"",VLOOKUP($A221,'Pre-Assessment Estimator'!$A$10:$Z$224,Y$2,FALSE))</f>
        <v/>
      </c>
      <c r="Z221" s="705"/>
      <c r="AA221" s="584" t="str">
        <f>IF(VLOOKUP($A221,'Pre-Assessment Estimator'!$A$10:$AB$224,AA$2,FALSE)=0,"",VLOOKUP($A221,'Pre-Assessment Estimator'!$A$10:$AB$224,AA$2,FALSE))</f>
        <v/>
      </c>
      <c r="AE221" s="386">
        <f t="shared" si="3"/>
        <v>1</v>
      </c>
      <c r="AF221" s="95" t="e">
        <f>VLOOKUP(J221,'Assessment Details'!$O$45:$P$48,2,FALSE)</f>
        <v>#N/A</v>
      </c>
      <c r="AG221" s="95" t="e">
        <f>VLOOKUP(Q221,'Assessment Details'!$O$45:$P$48,2,FALSE)</f>
        <v>#N/A</v>
      </c>
      <c r="AH221" s="95" t="e">
        <f>VLOOKUP(X221,'Assessment Details'!$O$45:$P$48,2,FALSE)</f>
        <v>#N/A</v>
      </c>
    </row>
    <row r="222" spans="1:34" x14ac:dyDescent="0.25">
      <c r="A222" s="836">
        <v>213</v>
      </c>
      <c r="B222" s="1262" t="s">
        <v>219</v>
      </c>
      <c r="C222" s="1262"/>
      <c r="D222" s="340" t="str">
        <f>VLOOKUP($A222,'Pre-Assessment Estimator'!$A$10:$Z$224,D$2,FALSE)</f>
        <v>Inn 13 - LE 06: Responding to climate change</v>
      </c>
      <c r="E222" s="581">
        <f>VLOOKUP($A222,'Pre-Assessment Estimator'!$A$10:$Z$224,E$2,FALSE)</f>
        <v>1</v>
      </c>
      <c r="F222" s="587" t="str">
        <f>IF(VLOOKUP($A222,'Pre-Assessment Estimator'!$A$10:$Z$224,F$2,FALSE)=0,"",VLOOKUP($A222,'Pre-Assessment Estimator'!$A$10:$Z$224,F$2,FALSE))</f>
        <v/>
      </c>
      <c r="G222" s="1239">
        <f>VLOOKUP($A222,'Pre-Assessment Estimator'!$A$10:$Z$224,G$2,FALSE)</f>
        <v>0</v>
      </c>
      <c r="H222" s="583" t="str">
        <f>VLOOKUP($A222,'Pre-Assessment Estimator'!$A$10:$Z$224,H$2,FALSE)</f>
        <v>N/A</v>
      </c>
      <c r="I222" s="584" t="str">
        <f>IF(VLOOKUP($A222,'Pre-Assessment Estimator'!$A$10:$Z$224,I$2,FALSE)=0,"",VLOOKUP($A222,'Pre-Assessment Estimator'!$A$10:$Z$224,I$2,FALSE))</f>
        <v/>
      </c>
      <c r="J222" s="584" t="str">
        <f>IF(VLOOKUP($A222,'Pre-Assessment Estimator'!$A$10:$Z$224,J$2,FALSE)=0,"",VLOOKUP($A222,'Pre-Assessment Estimator'!$A$10:$Z$224,J$2,FALSE))</f>
        <v/>
      </c>
      <c r="K222" s="585" t="str">
        <f>IF(VLOOKUP($A222,'Pre-Assessment Estimator'!$A$10:$Z$224,K$2,FALSE)=0,"",VLOOKUP($A222,'Pre-Assessment Estimator'!$A$10:$Z$224,K$2,FALSE))</f>
        <v/>
      </c>
      <c r="L222" s="586"/>
      <c r="M222" s="587" t="str">
        <f>IF(VLOOKUP($A222,'Pre-Assessment Estimator'!$A$10:$Z$224,M$2,FALSE)=0,"",VLOOKUP($A222,'Pre-Assessment Estimator'!$A$10:$Z$224,M$2,FALSE))</f>
        <v/>
      </c>
      <c r="N222" s="582">
        <f>VLOOKUP($A222,'Pre-Assessment Estimator'!$A$10:$Z$224,N$2,FALSE)</f>
        <v>0</v>
      </c>
      <c r="O222" s="581" t="str">
        <f>VLOOKUP($A222,'Pre-Assessment Estimator'!$A$10:$Z$224,O$2,FALSE)</f>
        <v>N/A</v>
      </c>
      <c r="P222" s="584" t="str">
        <f>IF(VLOOKUP($A222,'Pre-Assessment Estimator'!$A$10:$Z$224,P$2,FALSE)=0,"",VLOOKUP($A222,'Pre-Assessment Estimator'!$A$10:$Z$224,P$2,FALSE))</f>
        <v/>
      </c>
      <c r="Q222" s="584" t="str">
        <f>IF(VLOOKUP($A222,'Pre-Assessment Estimator'!$A$10:$Z$224,Q$2,FALSE)=0,"",VLOOKUP($A222,'Pre-Assessment Estimator'!$A$10:$Z$224,Q$2,FALSE))</f>
        <v/>
      </c>
      <c r="R222" s="585" t="str">
        <f>IF(VLOOKUP($A222,'Pre-Assessment Estimator'!$A$10:$Z$224,R$2,FALSE)=0,"",VLOOKUP($A222,'Pre-Assessment Estimator'!$A$10:$Z$224,R$2,FALSE))</f>
        <v/>
      </c>
      <c r="S222" s="588"/>
      <c r="T222" s="587" t="str">
        <f>IF(VLOOKUP($A222,'Pre-Assessment Estimator'!$A$10:$Z$224,T$2,FALSE)=0,"",VLOOKUP($A222,'Pre-Assessment Estimator'!$A$10:$Z$224,T$2,FALSE))</f>
        <v/>
      </c>
      <c r="U222" s="582">
        <f>VLOOKUP($A222,'Pre-Assessment Estimator'!$A$10:$Z$224,U$2,FALSE)</f>
        <v>0</v>
      </c>
      <c r="V222" s="581" t="str">
        <f>VLOOKUP($A222,'Pre-Assessment Estimator'!$A$10:$Z$224,V$2,FALSE)</f>
        <v>N/A</v>
      </c>
      <c r="W222" s="584" t="str">
        <f>IF(VLOOKUP($A222,'Pre-Assessment Estimator'!$A$10:$Z$224,W$2,FALSE)=0,"",VLOOKUP($A222,'Pre-Assessment Estimator'!$A$10:$Z$224,W$2,FALSE))</f>
        <v/>
      </c>
      <c r="X222" s="584" t="str">
        <f>IF(VLOOKUP($A222,'Pre-Assessment Estimator'!$A$10:$Z$224,X$2,FALSE)=0,"",VLOOKUP($A222,'Pre-Assessment Estimator'!$A$10:$Z$224,X$2,FALSE))</f>
        <v/>
      </c>
      <c r="Y222" s="370" t="str">
        <f>IF(VLOOKUP($A222,'Pre-Assessment Estimator'!$A$10:$Z$224,Y$2,FALSE)=0,"",VLOOKUP($A222,'Pre-Assessment Estimator'!$A$10:$Z$224,Y$2,FALSE))</f>
        <v/>
      </c>
      <c r="Z222" s="707"/>
      <c r="AA222" s="389"/>
      <c r="AB222" s="389"/>
      <c r="AC222" s="389"/>
      <c r="AD222" s="389"/>
      <c r="AF222" s="278"/>
      <c r="AG222" s="278"/>
      <c r="AH222" s="278"/>
    </row>
    <row r="223" spans="1:34" ht="30" x14ac:dyDescent="0.25">
      <c r="A223" s="836">
        <v>214</v>
      </c>
      <c r="B223" s="1263"/>
      <c r="C223" s="1263"/>
      <c r="D223" s="340" t="str">
        <f>VLOOKUP($A223,'Pre-Assessment Estimator'!$A$10:$Z$224,D$2,FALSE)</f>
        <v>Inn 14 - LE 08: Wider approach to surface water management</v>
      </c>
      <c r="E223" s="581">
        <f>VLOOKUP($A223,'Pre-Assessment Estimator'!$A$10:$Z$224,E$2,FALSE)</f>
        <v>1</v>
      </c>
      <c r="F223" s="587" t="str">
        <f>IF(VLOOKUP($A223,'Pre-Assessment Estimator'!$A$10:$Z$224,F$2,FALSE)=0,"",VLOOKUP($A223,'Pre-Assessment Estimator'!$A$10:$Z$224,F$2,FALSE))</f>
        <v/>
      </c>
      <c r="G223" s="1239">
        <f>VLOOKUP($A223,'Pre-Assessment Estimator'!$A$10:$Z$224,G$2,FALSE)</f>
        <v>0</v>
      </c>
      <c r="H223" s="583" t="str">
        <f>VLOOKUP($A223,'Pre-Assessment Estimator'!$A$10:$Z$224,H$2,FALSE)</f>
        <v>N/A</v>
      </c>
      <c r="I223" s="584" t="str">
        <f>IF(VLOOKUP($A223,'Pre-Assessment Estimator'!$A$10:$Z$224,I$2,FALSE)=0,"",VLOOKUP($A223,'Pre-Assessment Estimator'!$A$10:$Z$224,I$2,FALSE))</f>
        <v/>
      </c>
      <c r="J223" s="584" t="str">
        <f>IF(VLOOKUP($A223,'Pre-Assessment Estimator'!$A$10:$Z$224,J$2,FALSE)=0,"",VLOOKUP($A223,'Pre-Assessment Estimator'!$A$10:$Z$224,J$2,FALSE))</f>
        <v/>
      </c>
      <c r="K223" s="585" t="str">
        <f>IF(VLOOKUP($A223,'Pre-Assessment Estimator'!$A$10:$Z$224,K$2,FALSE)=0,"",VLOOKUP($A223,'Pre-Assessment Estimator'!$A$10:$Z$224,K$2,FALSE))</f>
        <v/>
      </c>
      <c r="L223" s="586"/>
      <c r="M223" s="587" t="str">
        <f>IF(VLOOKUP($A223,'Pre-Assessment Estimator'!$A$10:$Z$224,M$2,FALSE)=0,"",VLOOKUP($A223,'Pre-Assessment Estimator'!$A$10:$Z$224,M$2,FALSE))</f>
        <v/>
      </c>
      <c r="N223" s="582">
        <f>VLOOKUP($A223,'Pre-Assessment Estimator'!$A$10:$Z$224,N$2,FALSE)</f>
        <v>0</v>
      </c>
      <c r="O223" s="581" t="str">
        <f>VLOOKUP($A223,'Pre-Assessment Estimator'!$A$10:$Z$224,O$2,FALSE)</f>
        <v>N/A</v>
      </c>
      <c r="P223" s="584" t="str">
        <f>IF(VLOOKUP($A223,'Pre-Assessment Estimator'!$A$10:$Z$224,P$2,FALSE)=0,"",VLOOKUP($A223,'Pre-Assessment Estimator'!$A$10:$Z$224,P$2,FALSE))</f>
        <v/>
      </c>
      <c r="Q223" s="584" t="str">
        <f>IF(VLOOKUP($A223,'Pre-Assessment Estimator'!$A$10:$Z$224,Q$2,FALSE)=0,"",VLOOKUP($A223,'Pre-Assessment Estimator'!$A$10:$Z$224,Q$2,FALSE))</f>
        <v/>
      </c>
      <c r="R223" s="585" t="str">
        <f>IF(VLOOKUP($A223,'Pre-Assessment Estimator'!$A$10:$Z$224,R$2,FALSE)=0,"",VLOOKUP($A223,'Pre-Assessment Estimator'!$A$10:$Z$224,R$2,FALSE))</f>
        <v/>
      </c>
      <c r="S223" s="588"/>
      <c r="T223" s="587" t="str">
        <f>IF(VLOOKUP($A223,'Pre-Assessment Estimator'!$A$10:$Z$224,T$2,FALSE)=0,"",VLOOKUP($A223,'Pre-Assessment Estimator'!$A$10:$Z$224,T$2,FALSE))</f>
        <v/>
      </c>
      <c r="U223" s="582">
        <f>VLOOKUP($A223,'Pre-Assessment Estimator'!$A$10:$Z$224,U$2,FALSE)</f>
        <v>0</v>
      </c>
      <c r="V223" s="581" t="str">
        <f>VLOOKUP($A223,'Pre-Assessment Estimator'!$A$10:$Z$224,V$2,FALSE)</f>
        <v>N/A</v>
      </c>
      <c r="W223" s="584" t="str">
        <f>IF(VLOOKUP($A223,'Pre-Assessment Estimator'!$A$10:$Z$224,W$2,FALSE)=0,"",VLOOKUP($A223,'Pre-Assessment Estimator'!$A$10:$Z$224,W$2,FALSE))</f>
        <v/>
      </c>
      <c r="X223" s="584" t="str">
        <f>IF(VLOOKUP($A223,'Pre-Assessment Estimator'!$A$10:$Z$224,X$2,FALSE)=0,"",VLOOKUP($A223,'Pre-Assessment Estimator'!$A$10:$Z$224,X$2,FALSE))</f>
        <v/>
      </c>
      <c r="Y223" s="370" t="str">
        <f>IF(VLOOKUP($A223,'Pre-Assessment Estimator'!$A$10:$Z$224,Y$2,FALSE)=0,"",VLOOKUP($A223,'Pre-Assessment Estimator'!$A$10:$Z$224,Y$2,FALSE))</f>
        <v/>
      </c>
      <c r="Z223" s="26"/>
    </row>
    <row r="224" spans="1:34" ht="30.75" thickBot="1" x14ac:dyDescent="0.3">
      <c r="A224" s="836">
        <v>215</v>
      </c>
      <c r="B224" s="1263"/>
      <c r="C224" s="1263"/>
      <c r="D224" s="341" t="str">
        <f>VLOOKUP($A224,'Pre-Assessment Estimator'!$A$10:$Z$224,D$2,FALSE)</f>
        <v>Total indicative environmental section performance</v>
      </c>
      <c r="E224" s="589">
        <f>VLOOKUP($A224,'Pre-Assessment Estimator'!$A$10:$Z$224,E$2,FALSE)</f>
        <v>10</v>
      </c>
      <c r="F224" s="591" t="str">
        <f>IF(VLOOKUP($A224,'Pre-Assessment Estimator'!$A$10:$Z$224,F$2,FALSE)=0,"",VLOOKUP($A224,'Pre-Assessment Estimator'!$A$10:$Z$224,F$2,FALSE))</f>
        <v/>
      </c>
      <c r="G224" s="590">
        <f>VLOOKUP($A224,'Pre-Assessment Estimator'!$A$10:$Z$224,G$2,FALSE)</f>
        <v>0</v>
      </c>
      <c r="H224" s="589" t="str">
        <f>VLOOKUP($A224,'Pre-Assessment Estimator'!$A$10:$Z$224,H$2,FALSE)</f>
        <v>Credits achieved: 0</v>
      </c>
      <c r="I224" s="1220" t="str">
        <f>IF(VLOOKUP($A224,'Pre-Assessment Estimator'!$A$10:$Z$224,I$2,FALSE)=0,"",VLOOKUP($A224,'Pre-Assessment Estimator'!$A$10:$Z$224,I$2,FALSE))</f>
        <v/>
      </c>
      <c r="J224" s="1220" t="str">
        <f>IF(VLOOKUP($A224,'Pre-Assessment Estimator'!$A$10:$Z$224,J$2,FALSE)=0,"",VLOOKUP($A224,'Pre-Assessment Estimator'!$A$10:$Z$224,J$2,FALSE))</f>
        <v/>
      </c>
      <c r="K224" s="1240" t="str">
        <f>IF(VLOOKUP($A224,'Pre-Assessment Estimator'!$A$10:$Z$224,K$2,FALSE)=0,"",VLOOKUP($A224,'Pre-Assessment Estimator'!$A$10:$Z$224,K$2,FALSE))</f>
        <v/>
      </c>
      <c r="L224" s="1241"/>
      <c r="M224" s="591" t="str">
        <f>IF(VLOOKUP($A224,'Pre-Assessment Estimator'!$A$10:$Z$224,M$2,FALSE)=0,"",VLOOKUP($A224,'Pre-Assessment Estimator'!$A$10:$Z$224,M$2,FALSE))</f>
        <v/>
      </c>
      <c r="N224" s="590">
        <f>VLOOKUP($A224,'Pre-Assessment Estimator'!$A$10:$Z$224,N$2,FALSE)</f>
        <v>0</v>
      </c>
      <c r="O224" s="589" t="str">
        <f>VLOOKUP($A224,'Pre-Assessment Estimator'!$A$10:$Z$224,O$2,FALSE)</f>
        <v>Credits achieved: 0</v>
      </c>
      <c r="P224" s="1220" t="str">
        <f>IF(VLOOKUP($A224,'Pre-Assessment Estimator'!$A$10:$Z$224,P$2,FALSE)=0,"",VLOOKUP($A224,'Pre-Assessment Estimator'!$A$10:$Z$224,P$2,FALSE))</f>
        <v/>
      </c>
      <c r="Q224" s="1220" t="str">
        <f>IF(VLOOKUP($A224,'Pre-Assessment Estimator'!$A$10:$Z$224,Q$2,FALSE)=0,"",VLOOKUP($A224,'Pre-Assessment Estimator'!$A$10:$Z$224,Q$2,FALSE))</f>
        <v/>
      </c>
      <c r="R224" s="1240" t="str">
        <f>IF(VLOOKUP($A224,'Pre-Assessment Estimator'!$A$10:$Z$224,R$2,FALSE)=0,"",VLOOKUP($A224,'Pre-Assessment Estimator'!$A$10:$Z$224,R$2,FALSE))</f>
        <v/>
      </c>
      <c r="S224" s="1242"/>
      <c r="T224" s="591" t="str">
        <f>IF(VLOOKUP($A224,'Pre-Assessment Estimator'!$A$10:$Z$224,T$2,FALSE)=0,"",VLOOKUP($A224,'Pre-Assessment Estimator'!$A$10:$Z$224,T$2,FALSE))</f>
        <v/>
      </c>
      <c r="U224" s="590">
        <f>VLOOKUP($A224,'Pre-Assessment Estimator'!$A$10:$Z$224,U$2,FALSE)</f>
        <v>0</v>
      </c>
      <c r="V224" s="589" t="str">
        <f>VLOOKUP($A224,'Pre-Assessment Estimator'!$A$10:$Z$224,V$2,FALSE)</f>
        <v>Credits achieved: 0</v>
      </c>
      <c r="W224" s="1220" t="str">
        <f>IF(VLOOKUP($A224,'Pre-Assessment Estimator'!$A$10:$Z$224,W$2,FALSE)=0,"",VLOOKUP($A224,'Pre-Assessment Estimator'!$A$10:$Z$224,W$2,FALSE))</f>
        <v/>
      </c>
      <c r="X224" s="1220" t="str">
        <f>IF(VLOOKUP($A224,'Pre-Assessment Estimator'!$A$10:$Z$224,X$2,FALSE)=0,"",VLOOKUP($A224,'Pre-Assessment Estimator'!$A$10:$Z$224,X$2,FALSE))</f>
        <v/>
      </c>
      <c r="Y224" s="1243" t="str">
        <f>IF(VLOOKUP($A224,'Pre-Assessment Estimator'!$A$10:$Z$224,Y$2,FALSE)=0,"",VLOOKUP($A224,'Pre-Assessment Estimator'!$A$10:$Z$224,Y$2,FALSE))</f>
        <v/>
      </c>
      <c r="Z224" s="386"/>
    </row>
    <row r="225" spans="1:46" x14ac:dyDescent="0.25">
      <c r="A225" s="388"/>
      <c r="B225" s="388"/>
      <c r="C225" s="388"/>
      <c r="D225" s="388"/>
      <c r="E225" s="388"/>
      <c r="F225" s="388"/>
      <c r="G225" s="388"/>
      <c r="H225" s="388"/>
      <c r="I225" s="388"/>
      <c r="J225" s="388"/>
      <c r="K225" s="388"/>
      <c r="L225" s="388"/>
      <c r="M225" s="388"/>
      <c r="N225" s="388"/>
      <c r="O225" s="388"/>
      <c r="P225" s="388"/>
      <c r="Q225" s="388"/>
      <c r="R225" s="388"/>
      <c r="S225" s="388"/>
      <c r="T225" s="388"/>
      <c r="U225" s="388"/>
      <c r="V225" s="388"/>
      <c r="W225" s="388"/>
      <c r="X225" s="388"/>
      <c r="Y225" s="388"/>
      <c r="Z225" s="388"/>
      <c r="AA225" s="388"/>
      <c r="AB225" s="388"/>
      <c r="AC225" s="388"/>
      <c r="AD225" s="388"/>
      <c r="AE225" s="388"/>
      <c r="AF225" s="388"/>
      <c r="AG225" s="388"/>
      <c r="AH225" s="388"/>
      <c r="AI225" s="388"/>
      <c r="AJ225" s="388"/>
      <c r="AK225" s="388"/>
    </row>
    <row r="226" spans="1:46" x14ac:dyDescent="0.25">
      <c r="A226" s="388"/>
      <c r="B226" s="388"/>
      <c r="C226" s="388"/>
      <c r="D226" s="388"/>
      <c r="E226" s="388"/>
      <c r="F226" s="388"/>
      <c r="G226" s="388"/>
      <c r="H226" s="388"/>
      <c r="I226" s="388"/>
      <c r="J226" s="388"/>
      <c r="K226" s="388"/>
      <c r="L226" s="388"/>
      <c r="M226" s="388"/>
      <c r="N226" s="388"/>
      <c r="O226" s="388"/>
      <c r="P226" s="388"/>
      <c r="Q226" s="388"/>
      <c r="R226" s="388"/>
      <c r="S226" s="388"/>
      <c r="T226" s="388"/>
      <c r="U226" s="388"/>
      <c r="V226" s="388"/>
      <c r="W226" s="388"/>
      <c r="X226" s="388"/>
      <c r="Y226" s="388"/>
      <c r="Z226" s="388"/>
      <c r="AA226" s="388"/>
      <c r="AB226" s="388"/>
      <c r="AC226" s="388"/>
      <c r="AD226" s="388"/>
      <c r="AE226" s="388"/>
      <c r="AF226" s="388"/>
      <c r="AG226" s="388"/>
      <c r="AH226" s="388"/>
      <c r="AI226" s="388"/>
      <c r="AJ226" s="388"/>
      <c r="AK226" s="388"/>
    </row>
    <row r="227" spans="1:46" x14ac:dyDescent="0.25">
      <c r="A227" s="388"/>
      <c r="B227" s="388"/>
      <c r="C227" s="388"/>
      <c r="D227" s="388"/>
      <c r="E227" s="388"/>
      <c r="F227" s="388"/>
      <c r="G227" s="388"/>
      <c r="H227" s="388"/>
      <c r="I227" s="388"/>
      <c r="J227" s="388"/>
      <c r="K227" s="388"/>
      <c r="L227" s="388"/>
      <c r="M227" s="388"/>
      <c r="N227" s="388"/>
      <c r="O227" s="388"/>
      <c r="P227" s="388"/>
      <c r="Q227" s="388"/>
      <c r="R227" s="388"/>
      <c r="S227" s="388"/>
      <c r="T227" s="388"/>
      <c r="U227" s="388"/>
      <c r="V227" s="388"/>
      <c r="W227" s="388"/>
      <c r="X227" s="388"/>
      <c r="Y227" s="388"/>
      <c r="Z227" s="388"/>
      <c r="AA227" s="388"/>
      <c r="AB227" s="388"/>
      <c r="AC227" s="388"/>
      <c r="AD227" s="388"/>
      <c r="AE227" s="388"/>
      <c r="AF227" s="388"/>
      <c r="AG227" s="388"/>
      <c r="AH227" s="388"/>
      <c r="AI227" s="388"/>
      <c r="AJ227" s="388"/>
      <c r="AK227" s="388"/>
      <c r="AL227" s="414"/>
      <c r="AM227" s="414"/>
      <c r="AN227" s="414"/>
      <c r="AO227" s="414"/>
      <c r="AP227" s="414"/>
      <c r="AQ227" s="414"/>
      <c r="AR227" s="414"/>
      <c r="AS227" s="414"/>
      <c r="AT227" s="414"/>
    </row>
    <row r="228" spans="1:46" x14ac:dyDescent="0.25">
      <c r="D228" s="387"/>
      <c r="L228" s="387"/>
      <c r="S228" s="387"/>
      <c r="AA228" s="387"/>
      <c r="AB228" s="387"/>
      <c r="AC228" s="387"/>
      <c r="AD228" s="387"/>
      <c r="AE228" s="387"/>
    </row>
    <row r="229" spans="1:46" x14ac:dyDescent="0.25">
      <c r="D229" s="387"/>
      <c r="L229" s="387"/>
      <c r="S229" s="387"/>
      <c r="AA229" s="387"/>
      <c r="AB229" s="387"/>
      <c r="AC229" s="387"/>
      <c r="AD229" s="387"/>
      <c r="AE229" s="387"/>
    </row>
    <row r="230" spans="1:46" x14ac:dyDescent="0.25">
      <c r="D230" s="387"/>
      <c r="L230" s="387"/>
      <c r="S230" s="387"/>
      <c r="AA230" s="387"/>
      <c r="AB230" s="387"/>
      <c r="AC230" s="387"/>
      <c r="AD230" s="387"/>
      <c r="AE230" s="387"/>
    </row>
    <row r="380" spans="4:34" s="386" customFormat="1" ht="15.75" x14ac:dyDescent="0.25">
      <c r="D380" s="6"/>
      <c r="E380" s="416"/>
      <c r="F380" s="416"/>
      <c r="G380" s="416"/>
      <c r="H380" s="416"/>
      <c r="I380" s="416"/>
      <c r="J380" s="416"/>
      <c r="K380" s="417"/>
      <c r="M380" s="416"/>
      <c r="N380" s="416"/>
      <c r="O380" s="416"/>
      <c r="P380" s="416"/>
      <c r="Q380" s="416"/>
      <c r="R380" s="416"/>
      <c r="T380" s="416"/>
      <c r="U380" s="416"/>
      <c r="V380" s="416"/>
      <c r="W380" s="416"/>
      <c r="X380" s="416"/>
      <c r="Y380" s="416"/>
      <c r="Z380" s="416"/>
      <c r="AF380" s="387"/>
      <c r="AG380" s="387"/>
      <c r="AH380" s="387"/>
    </row>
  </sheetData>
  <sheetProtection algorithmName="SHA-512" hashValue="9Sgl4sPt5fJtmsABWbFmG9yKcBfBLVhTCIKcxiX4fAoTdAyuDiROQ1bpAiWuC6DcrLNxhGl7latHSX5GbEGVGw==" saltValue="G7Kso43lZtBxvUrfz756xQ==" spinCount="100000" sheet="1" formatRows="0" sort="0" autoFilter="0"/>
  <conditionalFormatting sqref="I11:J36 I71:J90 P71:Q90 W71:X90">
    <cfRule type="expression" dxfId="899" priority="1607">
      <formula>$AF11=4</formula>
    </cfRule>
    <cfRule type="expression" dxfId="898" priority="1608">
      <formula>$AF11=3</formula>
    </cfRule>
    <cfRule type="expression" dxfId="897" priority="1609">
      <formula>$AF11=2</formula>
    </cfRule>
    <cfRule type="expression" dxfId="896" priority="1610">
      <formula>$AF11=1</formula>
    </cfRule>
  </conditionalFormatting>
  <conditionalFormatting sqref="P11:Q36 P71:Q90">
    <cfRule type="expression" dxfId="895" priority="1603">
      <formula>$AG11=4</formula>
    </cfRule>
    <cfRule type="expression" dxfId="894" priority="1604">
      <formula>$AG11=3</formula>
    </cfRule>
    <cfRule type="expression" dxfId="893" priority="1605">
      <formula>$AG11=2</formula>
    </cfRule>
    <cfRule type="expression" dxfId="892" priority="1606">
      <formula>$AG11=1</formula>
    </cfRule>
  </conditionalFormatting>
  <conditionalFormatting sqref="W11:X36 W71:X90">
    <cfRule type="expression" dxfId="891" priority="1599">
      <formula>$AH11=4</formula>
    </cfRule>
    <cfRule type="expression" dxfId="890" priority="1600">
      <formula>$AH11=3</formula>
    </cfRule>
    <cfRule type="expression" dxfId="889" priority="1601">
      <formula>$AH11=2</formula>
    </cfRule>
    <cfRule type="expression" dxfId="888" priority="1602">
      <formula>$AH11=1</formula>
    </cfRule>
  </conditionalFormatting>
  <conditionalFormatting sqref="I63:J63">
    <cfRule type="expression" dxfId="887" priority="1595">
      <formula>$AF63=4</formula>
    </cfRule>
    <cfRule type="expression" dxfId="886" priority="1596">
      <formula>$AF63=3</formula>
    </cfRule>
    <cfRule type="expression" dxfId="885" priority="1597">
      <formula>$AF63=2</formula>
    </cfRule>
    <cfRule type="expression" dxfId="884" priority="1598">
      <formula>$AF63=1</formula>
    </cfRule>
  </conditionalFormatting>
  <conditionalFormatting sqref="P63:Q63">
    <cfRule type="expression" dxfId="883" priority="1591">
      <formula>$AG63=4</formula>
    </cfRule>
    <cfRule type="expression" dxfId="882" priority="1592">
      <formula>$AG63=3</formula>
    </cfRule>
    <cfRule type="expression" dxfId="881" priority="1593">
      <formula>$AG63=2</formula>
    </cfRule>
    <cfRule type="expression" dxfId="880" priority="1594">
      <formula>$AG63=1</formula>
    </cfRule>
  </conditionalFormatting>
  <conditionalFormatting sqref="W63:X63">
    <cfRule type="expression" dxfId="879" priority="1587">
      <formula>$AH63=4</formula>
    </cfRule>
    <cfRule type="expression" dxfId="878" priority="1588">
      <formula>$AH63=3</formula>
    </cfRule>
    <cfRule type="expression" dxfId="877" priority="1589">
      <formula>$AH63=2</formula>
    </cfRule>
    <cfRule type="expression" dxfId="876" priority="1590">
      <formula>$AH63=1</formula>
    </cfRule>
  </conditionalFormatting>
  <conditionalFormatting sqref="I92:J92">
    <cfRule type="expression" dxfId="875" priority="1583">
      <formula>$AF92=4</formula>
    </cfRule>
    <cfRule type="expression" dxfId="874" priority="1584">
      <formula>$AF92=3</formula>
    </cfRule>
    <cfRule type="expression" dxfId="873" priority="1585">
      <formula>$AF92=2</formula>
    </cfRule>
    <cfRule type="expression" dxfId="872" priority="1586">
      <formula>$AF92=1</formula>
    </cfRule>
  </conditionalFormatting>
  <conditionalFormatting sqref="P92:Q92">
    <cfRule type="expression" dxfId="871" priority="1579">
      <formula>$AG92=4</formula>
    </cfRule>
    <cfRule type="expression" dxfId="870" priority="1580">
      <formula>$AG92=3</formula>
    </cfRule>
    <cfRule type="expression" dxfId="869" priority="1581">
      <formula>$AG92=2</formula>
    </cfRule>
    <cfRule type="expression" dxfId="868" priority="1582">
      <formula>$AG92=1</formula>
    </cfRule>
  </conditionalFormatting>
  <conditionalFormatting sqref="W92:X92">
    <cfRule type="expression" dxfId="867" priority="1575">
      <formula>$AH92=4</formula>
    </cfRule>
    <cfRule type="expression" dxfId="866" priority="1576">
      <formula>$AH92=3</formula>
    </cfRule>
    <cfRule type="expression" dxfId="865" priority="1577">
      <formula>$AH92=2</formula>
    </cfRule>
    <cfRule type="expression" dxfId="864" priority="1578">
      <formula>$AH92=1</formula>
    </cfRule>
  </conditionalFormatting>
  <conditionalFormatting sqref="I101:J101">
    <cfRule type="expression" dxfId="863" priority="1571">
      <formula>$AF101=4</formula>
    </cfRule>
    <cfRule type="expression" dxfId="862" priority="1572">
      <formula>$AF101=3</formula>
    </cfRule>
    <cfRule type="expression" dxfId="861" priority="1573">
      <formula>$AF101=2</formula>
    </cfRule>
    <cfRule type="expression" dxfId="860" priority="1574">
      <formula>$AF101=1</formula>
    </cfRule>
  </conditionalFormatting>
  <conditionalFormatting sqref="P101:Q101">
    <cfRule type="expression" dxfId="859" priority="1567">
      <formula>$AG101=4</formula>
    </cfRule>
    <cfRule type="expression" dxfId="858" priority="1568">
      <formula>$AG101=3</formula>
    </cfRule>
    <cfRule type="expression" dxfId="857" priority="1569">
      <formula>$AG101=2</formula>
    </cfRule>
    <cfRule type="expression" dxfId="856" priority="1570">
      <formula>$AG101=1</formula>
    </cfRule>
  </conditionalFormatting>
  <conditionalFormatting sqref="W101:X101">
    <cfRule type="expression" dxfId="855" priority="1563">
      <formula>$AH101=4</formula>
    </cfRule>
    <cfRule type="expression" dxfId="854" priority="1564">
      <formula>$AH101=3</formula>
    </cfRule>
    <cfRule type="expression" dxfId="853" priority="1565">
      <formula>$AH101=2</formula>
    </cfRule>
    <cfRule type="expression" dxfId="852" priority="1566">
      <formula>$AH101=1</formula>
    </cfRule>
  </conditionalFormatting>
  <conditionalFormatting sqref="D101:K101 I10:K10 I37:K37 I64:K64 I93:K93 I102:K102 AA11:AA36 D36:K36 AA94:AA101 D63:K63 AA38:AA63 D92:K92 AA65:AA92 AA103:AA114 AA116:AA143 AA145:AA157 AA159:AA188 AA190:AA205 E11:K35 Z207:AA221 Z103:Z206 T10:Z102 E71:K90 E147:K158 E162:K189 E193:K206 E210:K223 T103:Y146 T159:Y161 T190:Y192 T207:Y209 T224:Y224 M10:R224">
    <cfRule type="expression" dxfId="851" priority="1490">
      <formula>$AE10=2</formula>
    </cfRule>
  </conditionalFormatting>
  <conditionalFormatting sqref="P2:Q2">
    <cfRule type="expression" dxfId="850" priority="1461">
      <formula>$AG10=4</formula>
    </cfRule>
    <cfRule type="expression" dxfId="849" priority="1462">
      <formula>$AG10=3</formula>
    </cfRule>
    <cfRule type="expression" dxfId="848" priority="1463">
      <formula>$AG10=2</formula>
    </cfRule>
    <cfRule type="expression" dxfId="847" priority="1464">
      <formula>$AG10=1</formula>
    </cfRule>
  </conditionalFormatting>
  <conditionalFormatting sqref="W2:X2">
    <cfRule type="expression" dxfId="846" priority="1457">
      <formula>$AH10=4</formula>
    </cfRule>
    <cfRule type="expression" dxfId="845" priority="1458">
      <formula>$AH10=3</formula>
    </cfRule>
    <cfRule type="expression" dxfId="844" priority="1459">
      <formula>$AH10=2</formula>
    </cfRule>
    <cfRule type="expression" dxfId="843" priority="1460">
      <formula>$AH10=1</formula>
    </cfRule>
  </conditionalFormatting>
  <conditionalFormatting sqref="M2:R2 T2:Z2">
    <cfRule type="expression" dxfId="842" priority="1456">
      <formula>$AE10=2</formula>
    </cfRule>
  </conditionalFormatting>
  <conditionalFormatting sqref="I10:J10">
    <cfRule type="expression" dxfId="841" priority="1446">
      <formula>$AF10=4</formula>
    </cfRule>
    <cfRule type="expression" dxfId="840" priority="1447">
      <formula>$AF10=3</formula>
    </cfRule>
    <cfRule type="expression" dxfId="839" priority="1448">
      <formula>$AF10=2</formula>
    </cfRule>
    <cfRule type="expression" dxfId="838" priority="1449">
      <formula>$AF10=1</formula>
    </cfRule>
  </conditionalFormatting>
  <conditionalFormatting sqref="P10:Q10">
    <cfRule type="expression" dxfId="837" priority="1442">
      <formula>$AG10=4</formula>
    </cfRule>
    <cfRule type="expression" dxfId="836" priority="1443">
      <formula>$AG10=3</formula>
    </cfRule>
    <cfRule type="expression" dxfId="835" priority="1444">
      <formula>$AG10=2</formula>
    </cfRule>
    <cfRule type="expression" dxfId="834" priority="1445">
      <formula>$AG10=1</formula>
    </cfRule>
  </conditionalFormatting>
  <conditionalFormatting sqref="W10:X10">
    <cfRule type="expression" dxfId="833" priority="1438">
      <formula>$AH10=4</formula>
    </cfRule>
    <cfRule type="expression" dxfId="832" priority="1439">
      <formula>$AH10=3</formula>
    </cfRule>
    <cfRule type="expression" dxfId="831" priority="1440">
      <formula>$AH10=2</formula>
    </cfRule>
    <cfRule type="expression" dxfId="830" priority="1441">
      <formula>$AH10=1</formula>
    </cfRule>
  </conditionalFormatting>
  <conditionalFormatting sqref="I37:J37">
    <cfRule type="expression" dxfId="829" priority="1256">
      <formula>$AF37=4</formula>
    </cfRule>
    <cfRule type="expression" dxfId="828" priority="1257">
      <formula>$AF37=3</formula>
    </cfRule>
    <cfRule type="expression" dxfId="827" priority="1258">
      <formula>$AF37=2</formula>
    </cfRule>
    <cfRule type="expression" dxfId="826" priority="1259">
      <formula>$AF37=1</formula>
    </cfRule>
  </conditionalFormatting>
  <conditionalFormatting sqref="P37:Q37">
    <cfRule type="expression" dxfId="825" priority="1252">
      <formula>$AG37=4</formula>
    </cfRule>
    <cfRule type="expression" dxfId="824" priority="1253">
      <formula>$AG37=3</formula>
    </cfRule>
    <cfRule type="expression" dxfId="823" priority="1254">
      <formula>$AG37=2</formula>
    </cfRule>
    <cfRule type="expression" dxfId="822" priority="1255">
      <formula>$AG37=1</formula>
    </cfRule>
  </conditionalFormatting>
  <conditionalFormatting sqref="W37:X37">
    <cfRule type="expression" dxfId="821" priority="1248">
      <formula>$AH37=4</formula>
    </cfRule>
    <cfRule type="expression" dxfId="820" priority="1249">
      <formula>$AH37=3</formula>
    </cfRule>
    <cfRule type="expression" dxfId="819" priority="1250">
      <formula>$AH37=2</formula>
    </cfRule>
    <cfRule type="expression" dxfId="818" priority="1251">
      <formula>$AH37=1</formula>
    </cfRule>
  </conditionalFormatting>
  <conditionalFormatting sqref="I64:J64">
    <cfRule type="expression" dxfId="817" priority="1218">
      <formula>$AF64=4</formula>
    </cfRule>
    <cfRule type="expression" dxfId="816" priority="1219">
      <formula>$AF64=3</formula>
    </cfRule>
    <cfRule type="expression" dxfId="815" priority="1220">
      <formula>$AF64=2</formula>
    </cfRule>
    <cfRule type="expression" dxfId="814" priority="1221">
      <formula>$AF64=1</formula>
    </cfRule>
  </conditionalFormatting>
  <conditionalFormatting sqref="P64:Q64">
    <cfRule type="expression" dxfId="813" priority="1214">
      <formula>$AG64=4</formula>
    </cfRule>
    <cfRule type="expression" dxfId="812" priority="1215">
      <formula>$AG64=3</formula>
    </cfRule>
    <cfRule type="expression" dxfId="811" priority="1216">
      <formula>$AG64=2</formula>
    </cfRule>
    <cfRule type="expression" dxfId="810" priority="1217">
      <formula>$AG64=1</formula>
    </cfRule>
  </conditionalFormatting>
  <conditionalFormatting sqref="W64:X64">
    <cfRule type="expression" dxfId="809" priority="1210">
      <formula>$AH64=4</formula>
    </cfRule>
    <cfRule type="expression" dxfId="808" priority="1211">
      <formula>$AH64=3</formula>
    </cfRule>
    <cfRule type="expression" dxfId="807" priority="1212">
      <formula>$AH64=2</formula>
    </cfRule>
    <cfRule type="expression" dxfId="806" priority="1213">
      <formula>$AH64=1</formula>
    </cfRule>
  </conditionalFormatting>
  <conditionalFormatting sqref="I93:J93">
    <cfRule type="expression" dxfId="805" priority="1199">
      <formula>$AF93=4</formula>
    </cfRule>
    <cfRule type="expression" dxfId="804" priority="1200">
      <formula>$AF93=3</formula>
    </cfRule>
    <cfRule type="expression" dxfId="803" priority="1201">
      <formula>$AF93=2</formula>
    </cfRule>
    <cfRule type="expression" dxfId="802" priority="1202">
      <formula>$AF93=1</formula>
    </cfRule>
  </conditionalFormatting>
  <conditionalFormatting sqref="P93:Q93">
    <cfRule type="expression" dxfId="801" priority="1195">
      <formula>$AG93=4</formula>
    </cfRule>
    <cfRule type="expression" dxfId="800" priority="1196">
      <formula>$AG93=3</formula>
    </cfRule>
    <cfRule type="expression" dxfId="799" priority="1197">
      <formula>$AG93=2</formula>
    </cfRule>
    <cfRule type="expression" dxfId="798" priority="1198">
      <formula>$AG93=1</formula>
    </cfRule>
  </conditionalFormatting>
  <conditionalFormatting sqref="W93:X93">
    <cfRule type="expression" dxfId="797" priority="1191">
      <formula>$AH93=4</formula>
    </cfRule>
    <cfRule type="expression" dxfId="796" priority="1192">
      <formula>$AH93=3</formula>
    </cfRule>
    <cfRule type="expression" dxfId="795" priority="1193">
      <formula>$AH93=2</formula>
    </cfRule>
    <cfRule type="expression" dxfId="794" priority="1194">
      <formula>$AH93=1</formula>
    </cfRule>
  </conditionalFormatting>
  <conditionalFormatting sqref="I102:J102">
    <cfRule type="expression" dxfId="793" priority="1180">
      <formula>$AF102=4</formula>
    </cfRule>
    <cfRule type="expression" dxfId="792" priority="1181">
      <formula>$AF102=3</formula>
    </cfRule>
    <cfRule type="expression" dxfId="791" priority="1182">
      <formula>$AF102=2</formula>
    </cfRule>
    <cfRule type="expression" dxfId="790" priority="1183">
      <formula>$AF102=1</formula>
    </cfRule>
  </conditionalFormatting>
  <conditionalFormatting sqref="P102:Q102">
    <cfRule type="expression" dxfId="789" priority="1176">
      <formula>$AG102=4</formula>
    </cfRule>
    <cfRule type="expression" dxfId="788" priority="1177">
      <formula>$AG102=3</formula>
    </cfRule>
    <cfRule type="expression" dxfId="787" priority="1178">
      <formula>$AG102=2</formula>
    </cfRule>
    <cfRule type="expression" dxfId="786" priority="1179">
      <formula>$AG102=1</formula>
    </cfRule>
  </conditionalFormatting>
  <conditionalFormatting sqref="W102:X102">
    <cfRule type="expression" dxfId="785" priority="1172">
      <formula>$AH102=4</formula>
    </cfRule>
    <cfRule type="expression" dxfId="784" priority="1173">
      <formula>$AH102=3</formula>
    </cfRule>
    <cfRule type="expression" dxfId="783" priority="1174">
      <formula>$AH102=2</formula>
    </cfRule>
    <cfRule type="expression" dxfId="782" priority="1175">
      <formula>$AH102=1</formula>
    </cfRule>
  </conditionalFormatting>
  <conditionalFormatting sqref="W65:X69">
    <cfRule type="expression" dxfId="781" priority="712">
      <formula>$AF65=4</formula>
    </cfRule>
    <cfRule type="expression" dxfId="780" priority="713">
      <formula>$AF65=3</formula>
    </cfRule>
    <cfRule type="expression" dxfId="779" priority="714">
      <formula>$AF65=2</formula>
    </cfRule>
    <cfRule type="expression" dxfId="778" priority="715">
      <formula>$AF65=1</formula>
    </cfRule>
  </conditionalFormatting>
  <conditionalFormatting sqref="AA10">
    <cfRule type="expression" dxfId="777" priority="1064">
      <formula>$AE10=2</formula>
    </cfRule>
  </conditionalFormatting>
  <conditionalFormatting sqref="AA37">
    <cfRule type="expression" dxfId="776" priority="1061">
      <formula>$AE37=2</formula>
    </cfRule>
  </conditionalFormatting>
  <conditionalFormatting sqref="AA64">
    <cfRule type="expression" dxfId="775" priority="1058">
      <formula>$AE64=2</formula>
    </cfRule>
  </conditionalFormatting>
  <conditionalFormatting sqref="AA93">
    <cfRule type="expression" dxfId="774" priority="1055">
      <formula>$AE93=2</formula>
    </cfRule>
  </conditionalFormatting>
  <conditionalFormatting sqref="AA102">
    <cfRule type="expression" dxfId="773" priority="1052">
      <formula>$AE102=2</formula>
    </cfRule>
  </conditionalFormatting>
  <conditionalFormatting sqref="AA115">
    <cfRule type="expression" dxfId="772" priority="1049">
      <formula>$AE115=2</formula>
    </cfRule>
  </conditionalFormatting>
  <conditionalFormatting sqref="AA144">
    <cfRule type="expression" dxfId="771" priority="1046">
      <formula>$AE144=2</formula>
    </cfRule>
  </conditionalFormatting>
  <conditionalFormatting sqref="AA158">
    <cfRule type="expression" dxfId="770" priority="1043">
      <formula>$AE158=2</formula>
    </cfRule>
  </conditionalFormatting>
  <conditionalFormatting sqref="AA189">
    <cfRule type="expression" dxfId="769" priority="1040">
      <formula>$AE189=2</formula>
    </cfRule>
  </conditionalFormatting>
  <conditionalFormatting sqref="AA206">
    <cfRule type="expression" dxfId="768" priority="1037">
      <formula>$AE206=2</formula>
    </cfRule>
  </conditionalFormatting>
  <conditionalFormatting sqref="P11:Q11">
    <cfRule type="expression" dxfId="767" priority="1018">
      <formula>$AF11=4</formula>
    </cfRule>
    <cfRule type="expression" dxfId="766" priority="1019">
      <formula>$AF11=3</formula>
    </cfRule>
    <cfRule type="expression" dxfId="765" priority="1020">
      <formula>$AF11=2</formula>
    </cfRule>
    <cfRule type="expression" dxfId="764" priority="1021">
      <formula>$AF11=1</formula>
    </cfRule>
  </conditionalFormatting>
  <conditionalFormatting sqref="W11:X11">
    <cfRule type="expression" dxfId="763" priority="1012">
      <formula>$AF11=4</formula>
    </cfRule>
    <cfRule type="expression" dxfId="762" priority="1013">
      <formula>$AF11=3</formula>
    </cfRule>
    <cfRule type="expression" dxfId="761" priority="1014">
      <formula>$AF11=2</formula>
    </cfRule>
    <cfRule type="expression" dxfId="760" priority="1015">
      <formula>$AF11=1</formula>
    </cfRule>
  </conditionalFormatting>
  <conditionalFormatting sqref="I62:J62">
    <cfRule type="expression" dxfId="759" priority="1002">
      <formula>$AF62=4</formula>
    </cfRule>
    <cfRule type="expression" dxfId="758" priority="1003">
      <formula>$AF62=3</formula>
    </cfRule>
    <cfRule type="expression" dxfId="757" priority="1004">
      <formula>$AF62=2</formula>
    </cfRule>
    <cfRule type="expression" dxfId="756" priority="1005">
      <formula>$AF62=1</formula>
    </cfRule>
  </conditionalFormatting>
  <conditionalFormatting sqref="P62:Q62">
    <cfRule type="expression" dxfId="755" priority="998">
      <formula>$AG62=4</formula>
    </cfRule>
    <cfRule type="expression" dxfId="754" priority="999">
      <formula>$AG62=3</formula>
    </cfRule>
    <cfRule type="expression" dxfId="753" priority="1000">
      <formula>$AG62=2</formula>
    </cfRule>
    <cfRule type="expression" dxfId="752" priority="1001">
      <formula>$AG62=1</formula>
    </cfRule>
  </conditionalFormatting>
  <conditionalFormatting sqref="W62:X62">
    <cfRule type="expression" dxfId="751" priority="994">
      <formula>$AH62=4</formula>
    </cfRule>
    <cfRule type="expression" dxfId="750" priority="995">
      <formula>$AH62=3</formula>
    </cfRule>
    <cfRule type="expression" dxfId="749" priority="996">
      <formula>$AH62=2</formula>
    </cfRule>
    <cfRule type="expression" dxfId="748" priority="997">
      <formula>$AH62=1</formula>
    </cfRule>
  </conditionalFormatting>
  <conditionalFormatting sqref="E62:K62">
    <cfRule type="expression" dxfId="747" priority="993">
      <formula>$AE62=2</formula>
    </cfRule>
  </conditionalFormatting>
  <conditionalFormatting sqref="I91:J91">
    <cfRule type="expression" dxfId="746" priority="979">
      <formula>$AF91=4</formula>
    </cfRule>
    <cfRule type="expression" dxfId="745" priority="980">
      <formula>$AF91=3</formula>
    </cfRule>
    <cfRule type="expression" dxfId="744" priority="981">
      <formula>$AF91=2</formula>
    </cfRule>
    <cfRule type="expression" dxfId="743" priority="982">
      <formula>$AF91=1</formula>
    </cfRule>
  </conditionalFormatting>
  <conditionalFormatting sqref="P91:Q91">
    <cfRule type="expression" dxfId="742" priority="975">
      <formula>$AG91=4</formula>
    </cfRule>
    <cfRule type="expression" dxfId="741" priority="976">
      <formula>$AG91=3</formula>
    </cfRule>
    <cfRule type="expression" dxfId="740" priority="977">
      <formula>$AG91=2</formula>
    </cfRule>
    <cfRule type="expression" dxfId="739" priority="978">
      <formula>$AG91=1</formula>
    </cfRule>
  </conditionalFormatting>
  <conditionalFormatting sqref="W91:X91">
    <cfRule type="expression" dxfId="738" priority="971">
      <formula>$AH91=4</formula>
    </cfRule>
    <cfRule type="expression" dxfId="737" priority="972">
      <formula>$AH91=3</formula>
    </cfRule>
    <cfRule type="expression" dxfId="736" priority="973">
      <formula>$AH91=2</formula>
    </cfRule>
    <cfRule type="expression" dxfId="735" priority="974">
      <formula>$AH91=1</formula>
    </cfRule>
  </conditionalFormatting>
  <conditionalFormatting sqref="E91:K91">
    <cfRule type="expression" dxfId="734" priority="970">
      <formula>$AE91=2</formula>
    </cfRule>
  </conditionalFormatting>
  <conditionalFormatting sqref="I100:J100">
    <cfRule type="expression" dxfId="733" priority="956">
      <formula>$AF100=4</formula>
    </cfRule>
    <cfRule type="expression" dxfId="732" priority="957">
      <formula>$AF100=3</formula>
    </cfRule>
    <cfRule type="expression" dxfId="731" priority="958">
      <formula>$AF100=2</formula>
    </cfRule>
    <cfRule type="expression" dxfId="730" priority="959">
      <formula>$AF100=1</formula>
    </cfRule>
  </conditionalFormatting>
  <conditionalFormatting sqref="P100:Q100">
    <cfRule type="expression" dxfId="729" priority="952">
      <formula>$AG100=4</formula>
    </cfRule>
    <cfRule type="expression" dxfId="728" priority="953">
      <formula>$AG100=3</formula>
    </cfRule>
    <cfRule type="expression" dxfId="727" priority="954">
      <formula>$AG100=2</formula>
    </cfRule>
    <cfRule type="expression" dxfId="726" priority="955">
      <formula>$AG100=1</formula>
    </cfRule>
  </conditionalFormatting>
  <conditionalFormatting sqref="W100:X100">
    <cfRule type="expression" dxfId="725" priority="948">
      <formula>$AH100=4</formula>
    </cfRule>
    <cfRule type="expression" dxfId="724" priority="949">
      <formula>$AH100=3</formula>
    </cfRule>
    <cfRule type="expression" dxfId="723" priority="950">
      <formula>$AH100=2</formula>
    </cfRule>
    <cfRule type="expression" dxfId="722" priority="951">
      <formula>$AH100=1</formula>
    </cfRule>
  </conditionalFormatting>
  <conditionalFormatting sqref="E100:K100">
    <cfRule type="expression" dxfId="721" priority="947">
      <formula>$AE100=2</formula>
    </cfRule>
  </conditionalFormatting>
  <conditionalFormatting sqref="I38:J61">
    <cfRule type="expression" dxfId="720" priority="772">
      <formula>$AF38=4</formula>
    </cfRule>
    <cfRule type="expression" dxfId="719" priority="773">
      <formula>$AF38=3</formula>
    </cfRule>
    <cfRule type="expression" dxfId="718" priority="774">
      <formula>$AF38=2</formula>
    </cfRule>
    <cfRule type="expression" dxfId="717" priority="775">
      <formula>$AF38=1</formula>
    </cfRule>
  </conditionalFormatting>
  <conditionalFormatting sqref="P38:Q61">
    <cfRule type="expression" dxfId="716" priority="768">
      <formula>$AG38=4</formula>
    </cfRule>
    <cfRule type="expression" dxfId="715" priority="769">
      <formula>$AG38=3</formula>
    </cfRule>
    <cfRule type="expression" dxfId="714" priority="770">
      <formula>$AG38=2</formula>
    </cfRule>
    <cfRule type="expression" dxfId="713" priority="771">
      <formula>$AG38=1</formula>
    </cfRule>
  </conditionalFormatting>
  <conditionalFormatting sqref="W38:X61">
    <cfRule type="expression" dxfId="712" priority="764">
      <formula>$AH38=4</formula>
    </cfRule>
    <cfRule type="expression" dxfId="711" priority="765">
      <formula>$AH38=3</formula>
    </cfRule>
    <cfRule type="expression" dxfId="710" priority="766">
      <formula>$AH38=2</formula>
    </cfRule>
    <cfRule type="expression" dxfId="709" priority="767">
      <formula>$AH38=1</formula>
    </cfRule>
  </conditionalFormatting>
  <conditionalFormatting sqref="E38:K61">
    <cfRule type="expression" dxfId="708" priority="763">
      <formula>$AE38=2</formula>
    </cfRule>
  </conditionalFormatting>
  <conditionalFormatting sqref="P38:Q61">
    <cfRule type="expression" dxfId="707" priority="753">
      <formula>$AF38=4</formula>
    </cfRule>
    <cfRule type="expression" dxfId="706" priority="754">
      <formula>$AF38=3</formula>
    </cfRule>
    <cfRule type="expression" dxfId="705" priority="755">
      <formula>$AF38=2</formula>
    </cfRule>
    <cfRule type="expression" dxfId="704" priority="756">
      <formula>$AF38=1</formula>
    </cfRule>
  </conditionalFormatting>
  <conditionalFormatting sqref="W38:X61">
    <cfRule type="expression" dxfId="703" priority="747">
      <formula>$AF38=4</formula>
    </cfRule>
    <cfRule type="expression" dxfId="702" priority="748">
      <formula>$AF38=3</formula>
    </cfRule>
    <cfRule type="expression" dxfId="701" priority="749">
      <formula>$AF38=2</formula>
    </cfRule>
    <cfRule type="expression" dxfId="700" priority="750">
      <formula>$AF38=1</formula>
    </cfRule>
  </conditionalFormatting>
  <conditionalFormatting sqref="I65:J69">
    <cfRule type="expression" dxfId="699" priority="737">
      <formula>$AF65=4</formula>
    </cfRule>
    <cfRule type="expression" dxfId="698" priority="738">
      <formula>$AF65=3</formula>
    </cfRule>
    <cfRule type="expression" dxfId="697" priority="739">
      <formula>$AF65=2</formula>
    </cfRule>
    <cfRule type="expression" dxfId="696" priority="740">
      <formula>$AF65=1</formula>
    </cfRule>
  </conditionalFormatting>
  <conditionalFormatting sqref="P65:Q69">
    <cfRule type="expression" dxfId="695" priority="733">
      <formula>$AG65=4</formula>
    </cfRule>
    <cfRule type="expression" dxfId="694" priority="734">
      <formula>$AG65=3</formula>
    </cfRule>
    <cfRule type="expression" dxfId="693" priority="735">
      <formula>$AG65=2</formula>
    </cfRule>
    <cfRule type="expression" dxfId="692" priority="736">
      <formula>$AG65=1</formula>
    </cfRule>
  </conditionalFormatting>
  <conditionalFormatting sqref="W65:X69">
    <cfRule type="expression" dxfId="691" priority="729">
      <formula>$AH65=4</formula>
    </cfRule>
    <cfRule type="expression" dxfId="690" priority="730">
      <formula>$AH65=3</formula>
    </cfRule>
    <cfRule type="expression" dxfId="689" priority="731">
      <formula>$AH65=2</formula>
    </cfRule>
    <cfRule type="expression" dxfId="688" priority="732">
      <formula>$AH65=1</formula>
    </cfRule>
  </conditionalFormatting>
  <conditionalFormatting sqref="E65:K69">
    <cfRule type="expression" dxfId="687" priority="728">
      <formula>$AE65=2</formula>
    </cfRule>
  </conditionalFormatting>
  <conditionalFormatting sqref="P65:Q69">
    <cfRule type="expression" dxfId="686" priority="718">
      <formula>$AF65=4</formula>
    </cfRule>
    <cfRule type="expression" dxfId="685" priority="719">
      <formula>$AF65=3</formula>
    </cfRule>
    <cfRule type="expression" dxfId="684" priority="720">
      <formula>$AF65=2</formula>
    </cfRule>
    <cfRule type="expression" dxfId="683" priority="721">
      <formula>$AF65=1</formula>
    </cfRule>
  </conditionalFormatting>
  <conditionalFormatting sqref="I94:J99">
    <cfRule type="expression" dxfId="682" priority="702">
      <formula>$AF94=4</formula>
    </cfRule>
    <cfRule type="expression" dxfId="681" priority="703">
      <formula>$AF94=3</formula>
    </cfRule>
    <cfRule type="expression" dxfId="680" priority="704">
      <formula>$AF94=2</formula>
    </cfRule>
    <cfRule type="expression" dxfId="679" priority="705">
      <formula>$AF94=1</formula>
    </cfRule>
  </conditionalFormatting>
  <conditionalFormatting sqref="P94:Q99">
    <cfRule type="expression" dxfId="678" priority="698">
      <formula>$AG94=4</formula>
    </cfRule>
    <cfRule type="expression" dxfId="677" priority="699">
      <formula>$AG94=3</formula>
    </cfRule>
    <cfRule type="expression" dxfId="676" priority="700">
      <formula>$AG94=2</formula>
    </cfRule>
    <cfRule type="expression" dxfId="675" priority="701">
      <formula>$AG94=1</formula>
    </cfRule>
  </conditionalFormatting>
  <conditionalFormatting sqref="W94:X99">
    <cfRule type="expression" dxfId="674" priority="694">
      <formula>$AH94=4</formula>
    </cfRule>
    <cfRule type="expression" dxfId="673" priority="695">
      <formula>$AH94=3</formula>
    </cfRule>
    <cfRule type="expression" dxfId="672" priority="696">
      <formula>$AH94=2</formula>
    </cfRule>
    <cfRule type="expression" dxfId="671" priority="697">
      <formula>$AH94=1</formula>
    </cfRule>
  </conditionalFormatting>
  <conditionalFormatting sqref="E94:K99">
    <cfRule type="expression" dxfId="670" priority="693">
      <formula>$AE94=2</formula>
    </cfRule>
  </conditionalFormatting>
  <conditionalFormatting sqref="P94:Q99">
    <cfRule type="expression" dxfId="669" priority="683">
      <formula>$AF94=4</formula>
    </cfRule>
    <cfRule type="expression" dxfId="668" priority="684">
      <formula>$AF94=3</formula>
    </cfRule>
    <cfRule type="expression" dxfId="667" priority="685">
      <formula>$AF94=2</formula>
    </cfRule>
    <cfRule type="expression" dxfId="666" priority="686">
      <formula>$AF94=1</formula>
    </cfRule>
  </conditionalFormatting>
  <conditionalFormatting sqref="W94:X99">
    <cfRule type="expression" dxfId="665" priority="677">
      <formula>$AF94=4</formula>
    </cfRule>
    <cfRule type="expression" dxfId="664" priority="678">
      <formula>$AF94=3</formula>
    </cfRule>
    <cfRule type="expression" dxfId="663" priority="679">
      <formula>$AF94=2</formula>
    </cfRule>
    <cfRule type="expression" dxfId="662" priority="680">
      <formula>$AF94=1</formula>
    </cfRule>
  </conditionalFormatting>
  <conditionalFormatting sqref="I103:J113">
    <cfRule type="expression" dxfId="661" priority="667">
      <formula>$AF103=4</formula>
    </cfRule>
    <cfRule type="expression" dxfId="660" priority="668">
      <formula>$AF103=3</formula>
    </cfRule>
    <cfRule type="expression" dxfId="659" priority="669">
      <formula>$AF103=2</formula>
    </cfRule>
    <cfRule type="expression" dxfId="658" priority="670">
      <formula>$AF103=1</formula>
    </cfRule>
  </conditionalFormatting>
  <conditionalFormatting sqref="P103:Q113">
    <cfRule type="expression" dxfId="657" priority="663">
      <formula>$AG103=4</formula>
    </cfRule>
    <cfRule type="expression" dxfId="656" priority="664">
      <formula>$AG103=3</formula>
    </cfRule>
    <cfRule type="expression" dxfId="655" priority="665">
      <formula>$AG103=2</formula>
    </cfRule>
    <cfRule type="expression" dxfId="654" priority="666">
      <formula>$AG103=1</formula>
    </cfRule>
  </conditionalFormatting>
  <conditionalFormatting sqref="W103:X113">
    <cfRule type="expression" dxfId="653" priority="659">
      <formula>$AH103=4</formula>
    </cfRule>
    <cfRule type="expression" dxfId="652" priority="660">
      <formula>$AH103=3</formula>
    </cfRule>
    <cfRule type="expression" dxfId="651" priority="661">
      <formula>$AH103=2</formula>
    </cfRule>
    <cfRule type="expression" dxfId="650" priority="662">
      <formula>$AH103=1</formula>
    </cfRule>
  </conditionalFormatting>
  <conditionalFormatting sqref="E103:K113">
    <cfRule type="expression" dxfId="649" priority="658">
      <formula>$AE103=2</formula>
    </cfRule>
  </conditionalFormatting>
  <conditionalFormatting sqref="P103:Q113">
    <cfRule type="expression" dxfId="648" priority="648">
      <formula>$AF103=4</formula>
    </cfRule>
    <cfRule type="expression" dxfId="647" priority="649">
      <formula>$AF103=3</formula>
    </cfRule>
    <cfRule type="expression" dxfId="646" priority="650">
      <formula>$AF103=2</formula>
    </cfRule>
    <cfRule type="expression" dxfId="645" priority="651">
      <formula>$AF103=1</formula>
    </cfRule>
  </conditionalFormatting>
  <conditionalFormatting sqref="W103:X113">
    <cfRule type="expression" dxfId="644" priority="642">
      <formula>$AF103=4</formula>
    </cfRule>
    <cfRule type="expression" dxfId="643" priority="643">
      <formula>$AF103=3</formula>
    </cfRule>
    <cfRule type="expression" dxfId="642" priority="644">
      <formula>$AF103=2</formula>
    </cfRule>
    <cfRule type="expression" dxfId="641" priority="645">
      <formula>$AF103=1</formula>
    </cfRule>
  </conditionalFormatting>
  <conditionalFormatting sqref="I117:J143">
    <cfRule type="expression" dxfId="640" priority="632">
      <formula>$AF117=4</formula>
    </cfRule>
    <cfRule type="expression" dxfId="639" priority="633">
      <formula>$AF117=3</formula>
    </cfRule>
    <cfRule type="expression" dxfId="638" priority="634">
      <formula>$AF117=2</formula>
    </cfRule>
    <cfRule type="expression" dxfId="637" priority="635">
      <formula>$AF117=1</formula>
    </cfRule>
  </conditionalFormatting>
  <conditionalFormatting sqref="P117:Q143">
    <cfRule type="expression" dxfId="636" priority="628">
      <formula>$AG117=4</formula>
    </cfRule>
    <cfRule type="expression" dxfId="635" priority="629">
      <formula>$AG117=3</formula>
    </cfRule>
    <cfRule type="expression" dxfId="634" priority="630">
      <formula>$AG117=2</formula>
    </cfRule>
    <cfRule type="expression" dxfId="633" priority="631">
      <formula>$AG117=1</formula>
    </cfRule>
  </conditionalFormatting>
  <conditionalFormatting sqref="W117:X143">
    <cfRule type="expression" dxfId="632" priority="624">
      <formula>$AH117=4</formula>
    </cfRule>
    <cfRule type="expression" dxfId="631" priority="625">
      <formula>$AH117=3</formula>
    </cfRule>
    <cfRule type="expression" dxfId="630" priority="626">
      <formula>$AH117=2</formula>
    </cfRule>
    <cfRule type="expression" dxfId="629" priority="627">
      <formula>$AH117=1</formula>
    </cfRule>
  </conditionalFormatting>
  <conditionalFormatting sqref="E117:K143">
    <cfRule type="expression" dxfId="628" priority="623">
      <formula>$AE117=2</formula>
    </cfRule>
  </conditionalFormatting>
  <conditionalFormatting sqref="P117:Q143">
    <cfRule type="expression" dxfId="627" priority="613">
      <formula>$AF117=4</formula>
    </cfRule>
    <cfRule type="expression" dxfId="626" priority="614">
      <formula>$AF117=3</formula>
    </cfRule>
    <cfRule type="expression" dxfId="625" priority="615">
      <formula>$AF117=2</formula>
    </cfRule>
    <cfRule type="expression" dxfId="624" priority="616">
      <formula>$AF117=1</formula>
    </cfRule>
  </conditionalFormatting>
  <conditionalFormatting sqref="W117:X143">
    <cfRule type="expression" dxfId="623" priority="607">
      <formula>$AF117=4</formula>
    </cfRule>
    <cfRule type="expression" dxfId="622" priority="608">
      <formula>$AF117=3</formula>
    </cfRule>
    <cfRule type="expression" dxfId="621" priority="609">
      <formula>$AF117=2</formula>
    </cfRule>
    <cfRule type="expression" dxfId="620" priority="610">
      <formula>$AF117=1</formula>
    </cfRule>
  </conditionalFormatting>
  <conditionalFormatting sqref="I147:J158">
    <cfRule type="expression" dxfId="619" priority="597">
      <formula>$AF147=4</formula>
    </cfRule>
    <cfRule type="expression" dxfId="618" priority="598">
      <formula>$AF147=3</formula>
    </cfRule>
    <cfRule type="expression" dxfId="617" priority="599">
      <formula>$AF147=2</formula>
    </cfRule>
    <cfRule type="expression" dxfId="616" priority="600">
      <formula>$AF147=1</formula>
    </cfRule>
  </conditionalFormatting>
  <conditionalFormatting sqref="P147:Q158">
    <cfRule type="expression" dxfId="615" priority="593">
      <formula>$AG147=4</formula>
    </cfRule>
    <cfRule type="expression" dxfId="614" priority="594">
      <formula>$AG147=3</formula>
    </cfRule>
    <cfRule type="expression" dxfId="613" priority="595">
      <formula>$AG147=2</formula>
    </cfRule>
    <cfRule type="expression" dxfId="612" priority="596">
      <formula>$AG147=1</formula>
    </cfRule>
  </conditionalFormatting>
  <conditionalFormatting sqref="W147:X158">
    <cfRule type="expression" dxfId="611" priority="589">
      <formula>$AH147=4</formula>
    </cfRule>
    <cfRule type="expression" dxfId="610" priority="590">
      <formula>$AH147=3</formula>
    </cfRule>
    <cfRule type="expression" dxfId="609" priority="591">
      <formula>$AH147=2</formula>
    </cfRule>
    <cfRule type="expression" dxfId="608" priority="592">
      <formula>$AH147=1</formula>
    </cfRule>
  </conditionalFormatting>
  <conditionalFormatting sqref="T147:Y158">
    <cfRule type="expression" dxfId="607" priority="588">
      <formula>$AE147=2</formula>
    </cfRule>
  </conditionalFormatting>
  <conditionalFormatting sqref="P147:Q158">
    <cfRule type="expression" dxfId="606" priority="578">
      <formula>$AF147=4</formula>
    </cfRule>
    <cfRule type="expression" dxfId="605" priority="579">
      <formula>$AF147=3</formula>
    </cfRule>
    <cfRule type="expression" dxfId="604" priority="580">
      <formula>$AF147=2</formula>
    </cfRule>
    <cfRule type="expression" dxfId="603" priority="581">
      <formula>$AF147=1</formula>
    </cfRule>
  </conditionalFormatting>
  <conditionalFormatting sqref="W147:X158">
    <cfRule type="expression" dxfId="602" priority="572">
      <formula>$AF147=4</formula>
    </cfRule>
    <cfRule type="expression" dxfId="601" priority="573">
      <formula>$AF147=3</formula>
    </cfRule>
    <cfRule type="expression" dxfId="600" priority="574">
      <formula>$AF147=2</formula>
    </cfRule>
    <cfRule type="expression" dxfId="599" priority="575">
      <formula>$AF147=1</formula>
    </cfRule>
  </conditionalFormatting>
  <conditionalFormatting sqref="I162:J189">
    <cfRule type="expression" dxfId="598" priority="562">
      <formula>$AF162=4</formula>
    </cfRule>
    <cfRule type="expression" dxfId="597" priority="563">
      <formula>$AF162=3</formula>
    </cfRule>
    <cfRule type="expression" dxfId="596" priority="564">
      <formula>$AF162=2</formula>
    </cfRule>
    <cfRule type="expression" dxfId="595" priority="565">
      <formula>$AF162=1</formula>
    </cfRule>
  </conditionalFormatting>
  <conditionalFormatting sqref="P162:Q189">
    <cfRule type="expression" dxfId="594" priority="558">
      <formula>$AG162=4</formula>
    </cfRule>
    <cfRule type="expression" dxfId="593" priority="559">
      <formula>$AG162=3</formula>
    </cfRule>
    <cfRule type="expression" dxfId="592" priority="560">
      <formula>$AG162=2</formula>
    </cfRule>
    <cfRule type="expression" dxfId="591" priority="561">
      <formula>$AG162=1</formula>
    </cfRule>
  </conditionalFormatting>
  <conditionalFormatting sqref="W162:X189">
    <cfRule type="expression" dxfId="590" priority="554">
      <formula>$AH162=4</formula>
    </cfRule>
    <cfRule type="expression" dxfId="589" priority="555">
      <formula>$AH162=3</formula>
    </cfRule>
    <cfRule type="expression" dxfId="588" priority="556">
      <formula>$AH162=2</formula>
    </cfRule>
    <cfRule type="expression" dxfId="587" priority="557">
      <formula>$AH162=1</formula>
    </cfRule>
  </conditionalFormatting>
  <conditionalFormatting sqref="T162:Y189">
    <cfRule type="expression" dxfId="586" priority="553">
      <formula>$AE162=2</formula>
    </cfRule>
  </conditionalFormatting>
  <conditionalFormatting sqref="P162:Q189">
    <cfRule type="expression" dxfId="585" priority="543">
      <formula>$AF162=4</formula>
    </cfRule>
    <cfRule type="expression" dxfId="584" priority="544">
      <formula>$AF162=3</formula>
    </cfRule>
    <cfRule type="expression" dxfId="583" priority="545">
      <formula>$AF162=2</formula>
    </cfRule>
    <cfRule type="expression" dxfId="582" priority="546">
      <formula>$AF162=1</formula>
    </cfRule>
  </conditionalFormatting>
  <conditionalFormatting sqref="W162:X189">
    <cfRule type="expression" dxfId="581" priority="537">
      <formula>$AF162=4</formula>
    </cfRule>
    <cfRule type="expression" dxfId="580" priority="538">
      <formula>$AF162=3</formula>
    </cfRule>
    <cfRule type="expression" dxfId="579" priority="539">
      <formula>$AF162=2</formula>
    </cfRule>
    <cfRule type="expression" dxfId="578" priority="540">
      <formula>$AF162=1</formula>
    </cfRule>
  </conditionalFormatting>
  <conditionalFormatting sqref="I193:J206">
    <cfRule type="expression" dxfId="577" priority="527">
      <formula>$AF193=4</formula>
    </cfRule>
    <cfRule type="expression" dxfId="576" priority="528">
      <formula>$AF193=3</formula>
    </cfRule>
    <cfRule type="expression" dxfId="575" priority="529">
      <formula>$AF193=2</formula>
    </cfRule>
    <cfRule type="expression" dxfId="574" priority="530">
      <formula>$AF193=1</formula>
    </cfRule>
  </conditionalFormatting>
  <conditionalFormatting sqref="P193:Q206">
    <cfRule type="expression" dxfId="573" priority="523">
      <formula>$AG193=4</formula>
    </cfRule>
    <cfRule type="expression" dxfId="572" priority="524">
      <formula>$AG193=3</formula>
    </cfRule>
    <cfRule type="expression" dxfId="571" priority="525">
      <formula>$AG193=2</formula>
    </cfRule>
    <cfRule type="expression" dxfId="570" priority="526">
      <formula>$AG193=1</formula>
    </cfRule>
  </conditionalFormatting>
  <conditionalFormatting sqref="W193:X206">
    <cfRule type="expression" dxfId="569" priority="519">
      <formula>$AH193=4</formula>
    </cfRule>
    <cfRule type="expression" dxfId="568" priority="520">
      <formula>$AH193=3</formula>
    </cfRule>
    <cfRule type="expression" dxfId="567" priority="521">
      <formula>$AH193=2</formula>
    </cfRule>
    <cfRule type="expression" dxfId="566" priority="522">
      <formula>$AH193=1</formula>
    </cfRule>
  </conditionalFormatting>
  <conditionalFormatting sqref="T193:Y206">
    <cfRule type="expression" dxfId="565" priority="518">
      <formula>$AE193=2</formula>
    </cfRule>
  </conditionalFormatting>
  <conditionalFormatting sqref="P193:Q206">
    <cfRule type="expression" dxfId="564" priority="508">
      <formula>$AF193=4</formula>
    </cfRule>
    <cfRule type="expression" dxfId="563" priority="509">
      <formula>$AF193=3</formula>
    </cfRule>
    <cfRule type="expression" dxfId="562" priority="510">
      <formula>$AF193=2</formula>
    </cfRule>
    <cfRule type="expression" dxfId="561" priority="511">
      <formula>$AF193=1</formula>
    </cfRule>
  </conditionalFormatting>
  <conditionalFormatting sqref="W193:X206">
    <cfRule type="expression" dxfId="560" priority="502">
      <formula>$AF193=4</formula>
    </cfRule>
    <cfRule type="expression" dxfId="559" priority="503">
      <formula>$AF193=3</formula>
    </cfRule>
    <cfRule type="expression" dxfId="558" priority="504">
      <formula>$AF193=2</formula>
    </cfRule>
    <cfRule type="expression" dxfId="557" priority="505">
      <formula>$AF193=1</formula>
    </cfRule>
  </conditionalFormatting>
  <conditionalFormatting sqref="I210:J223">
    <cfRule type="expression" dxfId="556" priority="492">
      <formula>$AF210=4</formula>
    </cfRule>
    <cfRule type="expression" dxfId="555" priority="493">
      <formula>$AF210=3</formula>
    </cfRule>
    <cfRule type="expression" dxfId="554" priority="494">
      <formula>$AF210=2</formula>
    </cfRule>
    <cfRule type="expression" dxfId="553" priority="495">
      <formula>$AF210=1</formula>
    </cfRule>
  </conditionalFormatting>
  <conditionalFormatting sqref="P210:Q223">
    <cfRule type="expression" dxfId="552" priority="488">
      <formula>$AG210=4</formula>
    </cfRule>
    <cfRule type="expression" dxfId="551" priority="489">
      <formula>$AG210=3</formula>
    </cfRule>
    <cfRule type="expression" dxfId="550" priority="490">
      <formula>$AG210=2</formula>
    </cfRule>
    <cfRule type="expression" dxfId="549" priority="491">
      <formula>$AG210=1</formula>
    </cfRule>
  </conditionalFormatting>
  <conditionalFormatting sqref="W210:X223">
    <cfRule type="expression" dxfId="548" priority="484">
      <formula>$AH210=4</formula>
    </cfRule>
    <cfRule type="expression" dxfId="547" priority="485">
      <formula>$AH210=3</formula>
    </cfRule>
    <cfRule type="expression" dxfId="546" priority="486">
      <formula>$AH210=2</formula>
    </cfRule>
    <cfRule type="expression" dxfId="545" priority="487">
      <formula>$AH210=1</formula>
    </cfRule>
  </conditionalFormatting>
  <conditionalFormatting sqref="T210:Y223">
    <cfRule type="expression" dxfId="544" priority="483">
      <formula>$AE210=2</formula>
    </cfRule>
  </conditionalFormatting>
  <conditionalFormatting sqref="P210:Q223">
    <cfRule type="expression" dxfId="543" priority="473">
      <formula>$AF210=4</formula>
    </cfRule>
    <cfRule type="expression" dxfId="542" priority="474">
      <formula>$AF210=3</formula>
    </cfRule>
    <cfRule type="expression" dxfId="541" priority="475">
      <formula>$AF210=2</formula>
    </cfRule>
    <cfRule type="expression" dxfId="540" priority="476">
      <formula>$AF210=1</formula>
    </cfRule>
  </conditionalFormatting>
  <conditionalFormatting sqref="W210:X223">
    <cfRule type="expression" dxfId="539" priority="467">
      <formula>$AF210=4</formula>
    </cfRule>
    <cfRule type="expression" dxfId="538" priority="468">
      <formula>$AF210=3</formula>
    </cfRule>
    <cfRule type="expression" dxfId="537" priority="469">
      <formula>$AF210=2</formula>
    </cfRule>
    <cfRule type="expression" dxfId="536" priority="470">
      <formula>$AF210=1</formula>
    </cfRule>
  </conditionalFormatting>
  <conditionalFormatting sqref="I116:K116">
    <cfRule type="expression" dxfId="535" priority="460">
      <formula>$AE116=2</formula>
    </cfRule>
  </conditionalFormatting>
  <conditionalFormatting sqref="I116:J116">
    <cfRule type="expression" dxfId="534" priority="454">
      <formula>$AF116=4</formula>
    </cfRule>
    <cfRule type="expression" dxfId="533" priority="455">
      <formula>$AF116=3</formula>
    </cfRule>
    <cfRule type="expression" dxfId="532" priority="456">
      <formula>$AF116=2</formula>
    </cfRule>
    <cfRule type="expression" dxfId="531" priority="457">
      <formula>$AF116=1</formula>
    </cfRule>
  </conditionalFormatting>
  <conditionalFormatting sqref="P116:Q116">
    <cfRule type="expression" dxfId="530" priority="450">
      <formula>$AG116=4</formula>
    </cfRule>
    <cfRule type="expression" dxfId="529" priority="451">
      <formula>$AG116=3</formula>
    </cfRule>
    <cfRule type="expression" dxfId="528" priority="452">
      <formula>$AG116=2</formula>
    </cfRule>
    <cfRule type="expression" dxfId="527" priority="453">
      <formula>$AG116=1</formula>
    </cfRule>
  </conditionalFormatting>
  <conditionalFormatting sqref="W116:X116">
    <cfRule type="expression" dxfId="526" priority="446">
      <formula>$AH116=4</formula>
    </cfRule>
    <cfRule type="expression" dxfId="525" priority="447">
      <formula>$AH116=3</formula>
    </cfRule>
    <cfRule type="expression" dxfId="524" priority="448">
      <formula>$AH116=2</formula>
    </cfRule>
    <cfRule type="expression" dxfId="523" priority="449">
      <formula>$AH116=1</formula>
    </cfRule>
  </conditionalFormatting>
  <conditionalFormatting sqref="I115:J115">
    <cfRule type="expression" dxfId="522" priority="440">
      <formula>$AF115=4</formula>
    </cfRule>
    <cfRule type="expression" dxfId="521" priority="441">
      <formula>$AF115=3</formula>
    </cfRule>
    <cfRule type="expression" dxfId="520" priority="442">
      <formula>$AF115=2</formula>
    </cfRule>
    <cfRule type="expression" dxfId="519" priority="443">
      <formula>$AF115=1</formula>
    </cfRule>
  </conditionalFormatting>
  <conditionalFormatting sqref="P115:Q115">
    <cfRule type="expression" dxfId="518" priority="436">
      <formula>$AG115=4</formula>
    </cfRule>
    <cfRule type="expression" dxfId="517" priority="437">
      <formula>$AG115=3</formula>
    </cfRule>
    <cfRule type="expression" dxfId="516" priority="438">
      <formula>$AG115=2</formula>
    </cfRule>
    <cfRule type="expression" dxfId="515" priority="439">
      <formula>$AG115=1</formula>
    </cfRule>
  </conditionalFormatting>
  <conditionalFormatting sqref="W115:X115">
    <cfRule type="expression" dxfId="514" priority="432">
      <formula>$AH115=4</formula>
    </cfRule>
    <cfRule type="expression" dxfId="513" priority="433">
      <formula>$AH115=3</formula>
    </cfRule>
    <cfRule type="expression" dxfId="512" priority="434">
      <formula>$AH115=2</formula>
    </cfRule>
    <cfRule type="expression" dxfId="511" priority="435">
      <formula>$AH115=1</formula>
    </cfRule>
  </conditionalFormatting>
  <conditionalFormatting sqref="D115:K115">
    <cfRule type="expression" dxfId="510" priority="431">
      <formula>$AE115=2</formula>
    </cfRule>
  </conditionalFormatting>
  <conditionalFormatting sqref="I114:J114">
    <cfRule type="expression" dxfId="509" priority="423">
      <formula>$AF114=4</formula>
    </cfRule>
    <cfRule type="expression" dxfId="508" priority="424">
      <formula>$AF114=3</formula>
    </cfRule>
    <cfRule type="expression" dxfId="507" priority="425">
      <formula>$AF114=2</formula>
    </cfRule>
    <cfRule type="expression" dxfId="506" priority="426">
      <formula>$AF114=1</formula>
    </cfRule>
  </conditionalFormatting>
  <conditionalFormatting sqref="P114:Q114">
    <cfRule type="expression" dxfId="505" priority="419">
      <formula>$AG114=4</formula>
    </cfRule>
    <cfRule type="expression" dxfId="504" priority="420">
      <formula>$AG114=3</formula>
    </cfRule>
    <cfRule type="expression" dxfId="503" priority="421">
      <formula>$AG114=2</formula>
    </cfRule>
    <cfRule type="expression" dxfId="502" priority="422">
      <formula>$AG114=1</formula>
    </cfRule>
  </conditionalFormatting>
  <conditionalFormatting sqref="W114:X114">
    <cfRule type="expression" dxfId="501" priority="415">
      <formula>$AH114=4</formula>
    </cfRule>
    <cfRule type="expression" dxfId="500" priority="416">
      <formula>$AH114=3</formula>
    </cfRule>
    <cfRule type="expression" dxfId="499" priority="417">
      <formula>$AH114=2</formula>
    </cfRule>
    <cfRule type="expression" dxfId="498" priority="418">
      <formula>$AH114=1</formula>
    </cfRule>
  </conditionalFormatting>
  <conditionalFormatting sqref="E114:K114">
    <cfRule type="expression" dxfId="497" priority="414">
      <formula>$AE114=2</formula>
    </cfRule>
  </conditionalFormatting>
  <conditionalFormatting sqref="I146:K146">
    <cfRule type="expression" dxfId="496" priority="403">
      <formula>$AE146=2</formula>
    </cfRule>
  </conditionalFormatting>
  <conditionalFormatting sqref="I146:J146">
    <cfRule type="expression" dxfId="495" priority="397">
      <formula>$AF146=4</formula>
    </cfRule>
    <cfRule type="expression" dxfId="494" priority="398">
      <formula>$AF146=3</formula>
    </cfRule>
    <cfRule type="expression" dxfId="493" priority="399">
      <formula>$AF146=2</formula>
    </cfRule>
    <cfRule type="expression" dxfId="492" priority="400">
      <formula>$AF146=1</formula>
    </cfRule>
  </conditionalFormatting>
  <conditionalFormatting sqref="P146:Q146">
    <cfRule type="expression" dxfId="491" priority="393">
      <formula>$AG146=4</formula>
    </cfRule>
    <cfRule type="expression" dxfId="490" priority="394">
      <formula>$AG146=3</formula>
    </cfRule>
    <cfRule type="expression" dxfId="489" priority="395">
      <formula>$AG146=2</formula>
    </cfRule>
    <cfRule type="expression" dxfId="488" priority="396">
      <formula>$AG146=1</formula>
    </cfRule>
  </conditionalFormatting>
  <conditionalFormatting sqref="W146:X146">
    <cfRule type="expression" dxfId="487" priority="389">
      <formula>$AH146=4</formula>
    </cfRule>
    <cfRule type="expression" dxfId="486" priority="390">
      <formula>$AH146=3</formula>
    </cfRule>
    <cfRule type="expression" dxfId="485" priority="391">
      <formula>$AH146=2</formula>
    </cfRule>
    <cfRule type="expression" dxfId="484" priority="392">
      <formula>$AH146=1</formula>
    </cfRule>
  </conditionalFormatting>
  <conditionalFormatting sqref="I145:J145">
    <cfRule type="expression" dxfId="483" priority="366">
      <formula>$AF145=4</formula>
    </cfRule>
    <cfRule type="expression" dxfId="482" priority="367">
      <formula>$AF145=3</formula>
    </cfRule>
    <cfRule type="expression" dxfId="481" priority="368">
      <formula>$AF145=2</formula>
    </cfRule>
    <cfRule type="expression" dxfId="480" priority="369">
      <formula>$AF145=1</formula>
    </cfRule>
  </conditionalFormatting>
  <conditionalFormatting sqref="P145:Q145">
    <cfRule type="expression" dxfId="479" priority="362">
      <formula>$AG145=4</formula>
    </cfRule>
    <cfRule type="expression" dxfId="478" priority="363">
      <formula>$AG145=3</formula>
    </cfRule>
    <cfRule type="expression" dxfId="477" priority="364">
      <formula>$AG145=2</formula>
    </cfRule>
    <cfRule type="expression" dxfId="476" priority="365">
      <formula>$AG145=1</formula>
    </cfRule>
  </conditionalFormatting>
  <conditionalFormatting sqref="W145:X145">
    <cfRule type="expression" dxfId="475" priority="358">
      <formula>$AH145=4</formula>
    </cfRule>
    <cfRule type="expression" dxfId="474" priority="359">
      <formula>$AH145=3</formula>
    </cfRule>
    <cfRule type="expression" dxfId="473" priority="360">
      <formula>$AH145=2</formula>
    </cfRule>
    <cfRule type="expression" dxfId="472" priority="361">
      <formula>$AH145=1</formula>
    </cfRule>
  </conditionalFormatting>
  <conditionalFormatting sqref="D145:K145">
    <cfRule type="expression" dxfId="471" priority="357">
      <formula>$AE145=2</formula>
    </cfRule>
  </conditionalFormatting>
  <conditionalFormatting sqref="I144:J144">
    <cfRule type="expression" dxfId="470" priority="349">
      <formula>$AF144=4</formula>
    </cfRule>
    <cfRule type="expression" dxfId="469" priority="350">
      <formula>$AF144=3</formula>
    </cfRule>
    <cfRule type="expression" dxfId="468" priority="351">
      <formula>$AF144=2</formula>
    </cfRule>
    <cfRule type="expression" dxfId="467" priority="352">
      <formula>$AF144=1</formula>
    </cfRule>
  </conditionalFormatting>
  <conditionalFormatting sqref="P144:Q144">
    <cfRule type="expression" dxfId="466" priority="345">
      <formula>$AG144=4</formula>
    </cfRule>
    <cfRule type="expression" dxfId="465" priority="346">
      <formula>$AG144=3</formula>
    </cfRule>
    <cfRule type="expression" dxfId="464" priority="347">
      <formula>$AG144=2</formula>
    </cfRule>
    <cfRule type="expression" dxfId="463" priority="348">
      <formula>$AG144=1</formula>
    </cfRule>
  </conditionalFormatting>
  <conditionalFormatting sqref="W144:X144">
    <cfRule type="expression" dxfId="462" priority="341">
      <formula>$AH144=4</formula>
    </cfRule>
    <cfRule type="expression" dxfId="461" priority="342">
      <formula>$AH144=3</formula>
    </cfRule>
    <cfRule type="expression" dxfId="460" priority="343">
      <formula>$AH144=2</formula>
    </cfRule>
    <cfRule type="expression" dxfId="459" priority="344">
      <formula>$AH144=1</formula>
    </cfRule>
  </conditionalFormatting>
  <conditionalFormatting sqref="E144:K144">
    <cfRule type="expression" dxfId="458" priority="340">
      <formula>$AE144=2</formula>
    </cfRule>
  </conditionalFormatting>
  <conditionalFormatting sqref="I161:K161">
    <cfRule type="expression" dxfId="457" priority="329">
      <formula>$AE161=2</formula>
    </cfRule>
  </conditionalFormatting>
  <conditionalFormatting sqref="I161:J161">
    <cfRule type="expression" dxfId="456" priority="323">
      <formula>$AF161=4</formula>
    </cfRule>
    <cfRule type="expression" dxfId="455" priority="324">
      <formula>$AF161=3</formula>
    </cfRule>
    <cfRule type="expression" dxfId="454" priority="325">
      <formula>$AF161=2</formula>
    </cfRule>
    <cfRule type="expression" dxfId="453" priority="326">
      <formula>$AF161=1</formula>
    </cfRule>
  </conditionalFormatting>
  <conditionalFormatting sqref="P161:Q161">
    <cfRule type="expression" dxfId="452" priority="319">
      <formula>$AG161=4</formula>
    </cfRule>
    <cfRule type="expression" dxfId="451" priority="320">
      <formula>$AG161=3</formula>
    </cfRule>
    <cfRule type="expression" dxfId="450" priority="321">
      <formula>$AG161=2</formula>
    </cfRule>
    <cfRule type="expression" dxfId="449" priority="322">
      <formula>$AG161=1</formula>
    </cfRule>
  </conditionalFormatting>
  <conditionalFormatting sqref="W161:X161">
    <cfRule type="expression" dxfId="448" priority="315">
      <formula>$AH161=4</formula>
    </cfRule>
    <cfRule type="expression" dxfId="447" priority="316">
      <formula>$AH161=3</formula>
    </cfRule>
    <cfRule type="expression" dxfId="446" priority="317">
      <formula>$AH161=2</formula>
    </cfRule>
    <cfRule type="expression" dxfId="445" priority="318">
      <formula>$AH161=1</formula>
    </cfRule>
  </conditionalFormatting>
  <conditionalFormatting sqref="I160:J160">
    <cfRule type="expression" dxfId="444" priority="275">
      <formula>$AF160=4</formula>
    </cfRule>
    <cfRule type="expression" dxfId="443" priority="276">
      <formula>$AF160=3</formula>
    </cfRule>
    <cfRule type="expression" dxfId="442" priority="277">
      <formula>$AF160=2</formula>
    </cfRule>
    <cfRule type="expression" dxfId="441" priority="278">
      <formula>$AF160=1</formula>
    </cfRule>
  </conditionalFormatting>
  <conditionalFormatting sqref="P160:Q160">
    <cfRule type="expression" dxfId="440" priority="271">
      <formula>$AG160=4</formula>
    </cfRule>
    <cfRule type="expression" dxfId="439" priority="272">
      <formula>$AG160=3</formula>
    </cfRule>
    <cfRule type="expression" dxfId="438" priority="273">
      <formula>$AG160=2</formula>
    </cfRule>
    <cfRule type="expression" dxfId="437" priority="274">
      <formula>$AG160=1</formula>
    </cfRule>
  </conditionalFormatting>
  <conditionalFormatting sqref="W160:X160">
    <cfRule type="expression" dxfId="436" priority="267">
      <formula>$AH160=4</formula>
    </cfRule>
    <cfRule type="expression" dxfId="435" priority="268">
      <formula>$AH160=3</formula>
    </cfRule>
    <cfRule type="expression" dxfId="434" priority="269">
      <formula>$AH160=2</formula>
    </cfRule>
    <cfRule type="expression" dxfId="433" priority="270">
      <formula>$AH160=1</formula>
    </cfRule>
  </conditionalFormatting>
  <conditionalFormatting sqref="D160:K160">
    <cfRule type="expression" dxfId="432" priority="266">
      <formula>$AE160=2</formula>
    </cfRule>
  </conditionalFormatting>
  <conditionalFormatting sqref="I192:K192">
    <cfRule type="expression" dxfId="431" priority="261">
      <formula>$AE192=2</formula>
    </cfRule>
  </conditionalFormatting>
  <conditionalFormatting sqref="I192:J192">
    <cfRule type="expression" dxfId="430" priority="255">
      <formula>$AF192=4</formula>
    </cfRule>
    <cfRule type="expression" dxfId="429" priority="256">
      <formula>$AF192=3</formula>
    </cfRule>
    <cfRule type="expression" dxfId="428" priority="257">
      <formula>$AF192=2</formula>
    </cfRule>
    <cfRule type="expression" dxfId="427" priority="258">
      <formula>$AF192=1</formula>
    </cfRule>
  </conditionalFormatting>
  <conditionalFormatting sqref="P192:Q192">
    <cfRule type="expression" dxfId="426" priority="251">
      <formula>$AG192=4</formula>
    </cfRule>
    <cfRule type="expression" dxfId="425" priority="252">
      <formula>$AG192=3</formula>
    </cfRule>
    <cfRule type="expression" dxfId="424" priority="253">
      <formula>$AG192=2</formula>
    </cfRule>
    <cfRule type="expression" dxfId="423" priority="254">
      <formula>$AG192=1</formula>
    </cfRule>
  </conditionalFormatting>
  <conditionalFormatting sqref="W192:X192">
    <cfRule type="expression" dxfId="422" priority="247">
      <formula>$AH192=4</formula>
    </cfRule>
    <cfRule type="expression" dxfId="421" priority="248">
      <formula>$AH192=3</formula>
    </cfRule>
    <cfRule type="expression" dxfId="420" priority="249">
      <formula>$AH192=2</formula>
    </cfRule>
    <cfRule type="expression" dxfId="419" priority="250">
      <formula>$AH192=1</formula>
    </cfRule>
  </conditionalFormatting>
  <conditionalFormatting sqref="I191:J191">
    <cfRule type="expression" dxfId="418" priority="207">
      <formula>$AF191=4</formula>
    </cfRule>
    <cfRule type="expression" dxfId="417" priority="208">
      <formula>$AF191=3</formula>
    </cfRule>
    <cfRule type="expression" dxfId="416" priority="209">
      <formula>$AF191=2</formula>
    </cfRule>
    <cfRule type="expression" dxfId="415" priority="210">
      <formula>$AF191=1</formula>
    </cfRule>
  </conditionalFormatting>
  <conditionalFormatting sqref="P191:Q191">
    <cfRule type="expression" dxfId="414" priority="203">
      <formula>$AG191=4</formula>
    </cfRule>
    <cfRule type="expression" dxfId="413" priority="204">
      <formula>$AG191=3</formula>
    </cfRule>
    <cfRule type="expression" dxfId="412" priority="205">
      <formula>$AG191=2</formula>
    </cfRule>
    <cfRule type="expression" dxfId="411" priority="206">
      <formula>$AG191=1</formula>
    </cfRule>
  </conditionalFormatting>
  <conditionalFormatting sqref="W191:X191">
    <cfRule type="expression" dxfId="410" priority="199">
      <formula>$AH191=4</formula>
    </cfRule>
    <cfRule type="expression" dxfId="409" priority="200">
      <formula>$AH191=3</formula>
    </cfRule>
    <cfRule type="expression" dxfId="408" priority="201">
      <formula>$AH191=2</formula>
    </cfRule>
    <cfRule type="expression" dxfId="407" priority="202">
      <formula>$AH191=1</formula>
    </cfRule>
  </conditionalFormatting>
  <conditionalFormatting sqref="D191:K191">
    <cfRule type="expression" dxfId="406" priority="198">
      <formula>$AE191=2</formula>
    </cfRule>
  </conditionalFormatting>
  <conditionalFormatting sqref="I159:J159">
    <cfRule type="expression" dxfId="405" priority="190">
      <formula>$AF159=4</formula>
    </cfRule>
    <cfRule type="expression" dxfId="404" priority="191">
      <formula>$AF159=3</formula>
    </cfRule>
    <cfRule type="expression" dxfId="403" priority="192">
      <formula>$AF159=2</formula>
    </cfRule>
    <cfRule type="expression" dxfId="402" priority="193">
      <formula>$AF159=1</formula>
    </cfRule>
  </conditionalFormatting>
  <conditionalFormatting sqref="P159:Q159">
    <cfRule type="expression" dxfId="401" priority="186">
      <formula>$AG159=4</formula>
    </cfRule>
    <cfRule type="expression" dxfId="400" priority="187">
      <formula>$AG159=3</formula>
    </cfRule>
    <cfRule type="expression" dxfId="399" priority="188">
      <formula>$AG159=2</formula>
    </cfRule>
    <cfRule type="expression" dxfId="398" priority="189">
      <formula>$AG159=1</formula>
    </cfRule>
  </conditionalFormatting>
  <conditionalFormatting sqref="W159:X159">
    <cfRule type="expression" dxfId="397" priority="182">
      <formula>$AH159=4</formula>
    </cfRule>
    <cfRule type="expression" dxfId="396" priority="183">
      <formula>$AH159=3</formula>
    </cfRule>
    <cfRule type="expression" dxfId="395" priority="184">
      <formula>$AH159=2</formula>
    </cfRule>
    <cfRule type="expression" dxfId="394" priority="185">
      <formula>$AH159=1</formula>
    </cfRule>
  </conditionalFormatting>
  <conditionalFormatting sqref="E159:K159">
    <cfRule type="expression" dxfId="393" priority="181">
      <formula>$AE159=2</formula>
    </cfRule>
  </conditionalFormatting>
  <conditionalFormatting sqref="I190:J190">
    <cfRule type="expression" dxfId="392" priority="167">
      <formula>$AF190=4</formula>
    </cfRule>
    <cfRule type="expression" dxfId="391" priority="168">
      <formula>$AF190=3</formula>
    </cfRule>
    <cfRule type="expression" dxfId="390" priority="169">
      <formula>$AF190=2</formula>
    </cfRule>
    <cfRule type="expression" dxfId="389" priority="170">
      <formula>$AF190=1</formula>
    </cfRule>
  </conditionalFormatting>
  <conditionalFormatting sqref="P190:Q190">
    <cfRule type="expression" dxfId="388" priority="163">
      <formula>$AG190=4</formula>
    </cfRule>
    <cfRule type="expression" dxfId="387" priority="164">
      <formula>$AG190=3</formula>
    </cfRule>
    <cfRule type="expression" dxfId="386" priority="165">
      <formula>$AG190=2</formula>
    </cfRule>
    <cfRule type="expression" dxfId="385" priority="166">
      <formula>$AG190=1</formula>
    </cfRule>
  </conditionalFormatting>
  <conditionalFormatting sqref="W190:X190">
    <cfRule type="expression" dxfId="384" priority="159">
      <formula>$AH190=4</formula>
    </cfRule>
    <cfRule type="expression" dxfId="383" priority="160">
      <formula>$AH190=3</formula>
    </cfRule>
    <cfRule type="expression" dxfId="382" priority="161">
      <formula>$AH190=2</formula>
    </cfRule>
    <cfRule type="expression" dxfId="381" priority="162">
      <formula>$AH190=1</formula>
    </cfRule>
  </conditionalFormatting>
  <conditionalFormatting sqref="E190:K190">
    <cfRule type="expression" dxfId="380" priority="158">
      <formula>$AE190=2</formula>
    </cfRule>
  </conditionalFormatting>
  <conditionalFormatting sqref="I209:K209">
    <cfRule type="expression" dxfId="379" priority="147">
      <formula>$AE209=2</formula>
    </cfRule>
  </conditionalFormatting>
  <conditionalFormatting sqref="I209:J209">
    <cfRule type="expression" dxfId="378" priority="141">
      <formula>$AF209=4</formula>
    </cfRule>
    <cfRule type="expression" dxfId="377" priority="142">
      <formula>$AF209=3</formula>
    </cfRule>
    <cfRule type="expression" dxfId="376" priority="143">
      <formula>$AF209=2</formula>
    </cfRule>
    <cfRule type="expression" dxfId="375" priority="144">
      <formula>$AF209=1</formula>
    </cfRule>
  </conditionalFormatting>
  <conditionalFormatting sqref="P209:Q209">
    <cfRule type="expression" dxfId="374" priority="137">
      <formula>$AG209=4</formula>
    </cfRule>
    <cfRule type="expression" dxfId="373" priority="138">
      <formula>$AG209=3</formula>
    </cfRule>
    <cfRule type="expression" dxfId="372" priority="139">
      <formula>$AG209=2</formula>
    </cfRule>
    <cfRule type="expression" dxfId="371" priority="140">
      <formula>$AG209=1</formula>
    </cfRule>
  </conditionalFormatting>
  <conditionalFormatting sqref="W209:X209">
    <cfRule type="expression" dxfId="370" priority="133">
      <formula>$AH209=4</formula>
    </cfRule>
    <cfRule type="expression" dxfId="369" priority="134">
      <formula>$AH209=3</formula>
    </cfRule>
    <cfRule type="expression" dxfId="368" priority="135">
      <formula>$AH209=2</formula>
    </cfRule>
    <cfRule type="expression" dxfId="367" priority="136">
      <formula>$AH209=1</formula>
    </cfRule>
  </conditionalFormatting>
  <conditionalFormatting sqref="I208:J208">
    <cfRule type="expression" dxfId="366" priority="93">
      <formula>$AF208=4</formula>
    </cfRule>
    <cfRule type="expression" dxfId="365" priority="94">
      <formula>$AF208=3</formula>
    </cfRule>
    <cfRule type="expression" dxfId="364" priority="95">
      <formula>$AF208=2</formula>
    </cfRule>
    <cfRule type="expression" dxfId="363" priority="96">
      <formula>$AF208=1</formula>
    </cfRule>
  </conditionalFormatting>
  <conditionalFormatting sqref="P208:Q208">
    <cfRule type="expression" dxfId="362" priority="89">
      <formula>$AG208=4</formula>
    </cfRule>
    <cfRule type="expression" dxfId="361" priority="90">
      <formula>$AG208=3</formula>
    </cfRule>
    <cfRule type="expression" dxfId="360" priority="91">
      <formula>$AG208=2</formula>
    </cfRule>
    <cfRule type="expression" dxfId="359" priority="92">
      <formula>$AG208=1</formula>
    </cfRule>
  </conditionalFormatting>
  <conditionalFormatting sqref="W208:X208">
    <cfRule type="expression" dxfId="358" priority="85">
      <formula>$AH208=4</formula>
    </cfRule>
    <cfRule type="expression" dxfId="357" priority="86">
      <formula>$AH208=3</formula>
    </cfRule>
    <cfRule type="expression" dxfId="356" priority="87">
      <formula>$AH208=2</formula>
    </cfRule>
    <cfRule type="expression" dxfId="355" priority="88">
      <formula>$AH208=1</formula>
    </cfRule>
  </conditionalFormatting>
  <conditionalFormatting sqref="D208:K208">
    <cfRule type="expression" dxfId="354" priority="84">
      <formula>$AE208=2</formula>
    </cfRule>
  </conditionalFormatting>
  <conditionalFormatting sqref="I207:J207">
    <cfRule type="expression" dxfId="353" priority="76">
      <formula>$AF207=4</formula>
    </cfRule>
    <cfRule type="expression" dxfId="352" priority="77">
      <formula>$AF207=3</formula>
    </cfRule>
    <cfRule type="expression" dxfId="351" priority="78">
      <formula>$AF207=2</formula>
    </cfRule>
    <cfRule type="expression" dxfId="350" priority="79">
      <formula>$AF207=1</formula>
    </cfRule>
  </conditionalFormatting>
  <conditionalFormatting sqref="P207:Q207">
    <cfRule type="expression" dxfId="349" priority="72">
      <formula>$AG207=4</formula>
    </cfRule>
    <cfRule type="expression" dxfId="348" priority="73">
      <formula>$AG207=3</formula>
    </cfRule>
    <cfRule type="expression" dxfId="347" priority="74">
      <formula>$AG207=2</formula>
    </cfRule>
    <cfRule type="expression" dxfId="346" priority="75">
      <formula>$AG207=1</formula>
    </cfRule>
  </conditionalFormatting>
  <conditionalFormatting sqref="W207:X207">
    <cfRule type="expression" dxfId="345" priority="68">
      <formula>$AH207=4</formula>
    </cfRule>
    <cfRule type="expression" dxfId="344" priority="69">
      <formula>$AH207=3</formula>
    </cfRule>
    <cfRule type="expression" dxfId="343" priority="70">
      <formula>$AH207=2</formula>
    </cfRule>
    <cfRule type="expression" dxfId="342" priority="71">
      <formula>$AH207=1</formula>
    </cfRule>
  </conditionalFormatting>
  <conditionalFormatting sqref="E207:K207">
    <cfRule type="expression" dxfId="341" priority="67">
      <formula>$AE207=2</formula>
    </cfRule>
  </conditionalFormatting>
  <conditionalFormatting sqref="I224:J224">
    <cfRule type="expression" dxfId="340" priority="53">
      <formula>$AF224=4</formula>
    </cfRule>
    <cfRule type="expression" dxfId="339" priority="54">
      <formula>$AF224=3</formula>
    </cfRule>
    <cfRule type="expression" dxfId="338" priority="55">
      <formula>$AF224=2</formula>
    </cfRule>
    <cfRule type="expression" dxfId="337" priority="56">
      <formula>$AF224=1</formula>
    </cfRule>
  </conditionalFormatting>
  <conditionalFormatting sqref="P224:Q224">
    <cfRule type="expression" dxfId="336" priority="49">
      <formula>$AG224=4</formula>
    </cfRule>
    <cfRule type="expression" dxfId="335" priority="50">
      <formula>$AG224=3</formula>
    </cfRule>
    <cfRule type="expression" dxfId="334" priority="51">
      <formula>$AG224=2</formula>
    </cfRule>
    <cfRule type="expression" dxfId="333" priority="52">
      <formula>$AG224=1</formula>
    </cfRule>
  </conditionalFormatting>
  <conditionalFormatting sqref="W224:X224">
    <cfRule type="expression" dxfId="332" priority="45">
      <formula>$AH224=4</formula>
    </cfRule>
    <cfRule type="expression" dxfId="331" priority="46">
      <formula>$AH224=3</formula>
    </cfRule>
    <cfRule type="expression" dxfId="330" priority="47">
      <formula>$AH224=2</formula>
    </cfRule>
    <cfRule type="expression" dxfId="329" priority="48">
      <formula>$AH224=1</formula>
    </cfRule>
  </conditionalFormatting>
  <conditionalFormatting sqref="E224:K224">
    <cfRule type="expression" dxfId="328" priority="44">
      <formula>$AE224=2</formula>
    </cfRule>
  </conditionalFormatting>
  <conditionalFormatting sqref="I70:J70">
    <cfRule type="expression" dxfId="327" priority="30">
      <formula>$AF70=4</formula>
    </cfRule>
    <cfRule type="expression" dxfId="326" priority="31">
      <formula>$AF70=3</formula>
    </cfRule>
    <cfRule type="expression" dxfId="325" priority="32">
      <formula>$AF70=2</formula>
    </cfRule>
    <cfRule type="expression" dxfId="324" priority="33">
      <formula>$AF70=1</formula>
    </cfRule>
  </conditionalFormatting>
  <conditionalFormatting sqref="P70:Q70">
    <cfRule type="expression" dxfId="323" priority="26">
      <formula>$AG70=4</formula>
    </cfRule>
    <cfRule type="expression" dxfId="322" priority="27">
      <formula>$AG70=3</formula>
    </cfRule>
    <cfRule type="expression" dxfId="321" priority="28">
      <formula>$AG70=2</formula>
    </cfRule>
    <cfRule type="expression" dxfId="320" priority="29">
      <formula>$AG70=1</formula>
    </cfRule>
  </conditionalFormatting>
  <conditionalFormatting sqref="W70:X70">
    <cfRule type="expression" dxfId="319" priority="22">
      <formula>$AH70=4</formula>
    </cfRule>
    <cfRule type="expression" dxfId="318" priority="23">
      <formula>$AH70=3</formula>
    </cfRule>
    <cfRule type="expression" dxfId="317" priority="24">
      <formula>$AH70=2</formula>
    </cfRule>
    <cfRule type="expression" dxfId="316" priority="25">
      <formula>$AH70=1</formula>
    </cfRule>
  </conditionalFormatting>
  <conditionalFormatting sqref="E70:K70">
    <cfRule type="expression" dxfId="315" priority="21">
      <formula>$AE70=2</formula>
    </cfRule>
  </conditionalFormatting>
  <conditionalFormatting sqref="P70:Q70">
    <cfRule type="expression" dxfId="314" priority="11">
      <formula>$AF70=4</formula>
    </cfRule>
    <cfRule type="expression" dxfId="313" priority="12">
      <formula>$AF70=3</formula>
    </cfRule>
    <cfRule type="expression" dxfId="312" priority="13">
      <formula>$AF70=2</formula>
    </cfRule>
    <cfRule type="expression" dxfId="311" priority="14">
      <formula>$AF70=1</formula>
    </cfRule>
  </conditionalFormatting>
  <conditionalFormatting sqref="W70:X70">
    <cfRule type="expression" dxfId="310" priority="5">
      <formula>$AF70=4</formula>
    </cfRule>
    <cfRule type="expression" dxfId="309" priority="6">
      <formula>$AF70=3</formula>
    </cfRule>
    <cfRule type="expression" dxfId="308" priority="7">
      <formula>$AF70=2</formula>
    </cfRule>
    <cfRule type="expression" dxfId="307" priority="8">
      <formula>$AF70=1</formula>
    </cfRule>
  </conditionalFormatting>
  <dataValidations count="2">
    <dataValidation allowBlank="1" showInputMessage="1" showErrorMessage="1" promptTitle="Sorting" prompt="Sort from smallest to largest to get original sorting" sqref="A9" xr:uid="{00000000-0002-0000-0600-000001000000}"/>
    <dataValidation type="decimal" operator="lessThanOrEqual" allowBlank="1" errorTitle="Invalid entry" error="Cannot award more credits than available" sqref="Z11:Z221 D11:Y224" xr:uid="{00000000-0002-0000-0600-000000000000}">
      <formula1>$E11</formula1>
    </dataValidation>
  </dataValidations>
  <pageMargins left="0.43307086614173229" right="0.19685039370078741" top="0.6692913385826772" bottom="0.59055118110236227" header="0.31496062992125984" footer="0.31496062992125984"/>
  <pageSetup paperSize="9" scale="50" fitToHeight="0" orientation="landscape" r:id="rId1"/>
  <headerFooter>
    <oddFooter xml:space="preserve">&amp;L&amp;F&amp;C&amp;D&amp;RPage &amp;P of &amp;N  </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487" id="{B963291B-988D-4012-8C32-6BE515380621}">
            <xm:f>$R$8='Assessment Details'!$Q$23</xm:f>
            <x14:dxf>
              <font>
                <color theme="0"/>
              </font>
              <fill>
                <patternFill>
                  <bgColor theme="0"/>
                </patternFill>
              </fill>
              <border>
                <vertical/>
                <horizontal/>
              </border>
            </x14:dxf>
          </x14:cfRule>
          <xm:sqref>AA99:AA101 AA94:AA97 AA207:AA221 AA11:AA36 M2:R2 AA38:AA63 AA65:AA92 AA103:AA114 AA116:AA143 AA145:AA157 AA159:AA188 AA190:AA205 M10:R37 M63:R64 M92:R93 M101:R102 F71:F90 M71:R90 T71:T90 V71:V90</xm:sqref>
        </x14:conditionalFormatting>
        <x14:conditionalFormatting xmlns:xm="http://schemas.microsoft.com/office/excel/2006/main">
          <x14:cfRule type="expression" priority="1486" id="{D6CE8378-0295-43A4-B4D2-FF97977D5B54}">
            <xm:f>$R$8='Assessment Details'!$Q$23</xm:f>
            <x14:dxf>
              <border>
                <left style="thin">
                  <color theme="0"/>
                </left>
                <right style="thin">
                  <color theme="0"/>
                </right>
                <top style="thin">
                  <color theme="0"/>
                </top>
                <bottom style="thin">
                  <color theme="0"/>
                </bottom>
                <vertical/>
                <horizontal/>
              </border>
            </x14:dxf>
          </x14:cfRule>
          <xm:sqref>AA99:AA101 AA94:AA97 AA207:AA221 AA11:AA36 M2:R2 AA38:AA63 AA65:AA92 AA103:AA114 AA116:AA143 AA145:AA157 AA159:AA188 AA190:AA205 M10:R37 M63:R64 M92:R93 M101:R102 F71:F90 M71:R90 T71:T90 V71:V90</xm:sqref>
        </x14:conditionalFormatting>
        <x14:conditionalFormatting xmlns:xm="http://schemas.microsoft.com/office/excel/2006/main">
          <x14:cfRule type="expression" priority="1066" id="{D4A1FB8B-9A6F-4D5A-87DE-8437C2FEA5F4}">
            <xm:f>$R$8='Assessment Details'!$Q$23</xm:f>
            <x14:dxf>
              <font>
                <color theme="0"/>
              </font>
              <fill>
                <patternFill>
                  <bgColor theme="0"/>
                </patternFill>
              </fill>
              <border>
                <vertical/>
                <horizontal/>
              </border>
            </x14:dxf>
          </x14:cfRule>
          <xm:sqref>AA98</xm:sqref>
        </x14:conditionalFormatting>
        <x14:conditionalFormatting xmlns:xm="http://schemas.microsoft.com/office/excel/2006/main">
          <x14:cfRule type="expression" priority="1065" id="{702E3ADF-3980-4B25-89A5-EF096DCCD8F6}">
            <xm:f>$R$8='Assessment Details'!$Q$23</xm:f>
            <x14:dxf>
              <border>
                <left style="thin">
                  <color theme="0"/>
                </left>
                <right style="thin">
                  <color theme="0"/>
                </right>
                <top style="thin">
                  <color theme="0"/>
                </top>
                <bottom style="thin">
                  <color theme="0"/>
                </bottom>
                <vertical/>
                <horizontal/>
              </border>
            </x14:dxf>
          </x14:cfRule>
          <xm:sqref>AA98</xm:sqref>
        </x14:conditionalFormatting>
        <x14:conditionalFormatting xmlns:xm="http://schemas.microsoft.com/office/excel/2006/main">
          <x14:cfRule type="expression" priority="1063" id="{258B7964-1DDD-42CC-8176-865BF7F43F24}">
            <xm:f>$R$8='Assessment Details'!$Q$23</xm:f>
            <x14:dxf>
              <font>
                <color theme="0"/>
              </font>
              <fill>
                <patternFill>
                  <bgColor theme="0"/>
                </patternFill>
              </fill>
              <border>
                <vertical/>
                <horizontal/>
              </border>
            </x14:dxf>
          </x14:cfRule>
          <xm:sqref>AA10</xm:sqref>
        </x14:conditionalFormatting>
        <x14:conditionalFormatting xmlns:xm="http://schemas.microsoft.com/office/excel/2006/main">
          <x14:cfRule type="expression" priority="1062" id="{7BB3A65E-2FFF-4780-BA07-E396F8C92B2F}">
            <xm:f>$R$8='Assessment Details'!$Q$23</xm:f>
            <x14:dxf>
              <border>
                <left style="thin">
                  <color theme="0"/>
                </left>
                <right style="thin">
                  <color theme="0"/>
                </right>
                <top style="thin">
                  <color theme="0"/>
                </top>
                <bottom style="thin">
                  <color theme="0"/>
                </bottom>
                <vertical/>
                <horizontal/>
              </border>
            </x14:dxf>
          </x14:cfRule>
          <xm:sqref>AA10</xm:sqref>
        </x14:conditionalFormatting>
        <x14:conditionalFormatting xmlns:xm="http://schemas.microsoft.com/office/excel/2006/main">
          <x14:cfRule type="expression" priority="1060" id="{779EE763-74DF-4BD9-9F1F-3F97AD73E70F}">
            <xm:f>$R$8='Assessment Details'!$Q$23</xm:f>
            <x14:dxf>
              <font>
                <color theme="0"/>
              </font>
              <fill>
                <patternFill>
                  <bgColor theme="0"/>
                </patternFill>
              </fill>
              <border>
                <vertical/>
                <horizontal/>
              </border>
            </x14:dxf>
          </x14:cfRule>
          <xm:sqref>AA37</xm:sqref>
        </x14:conditionalFormatting>
        <x14:conditionalFormatting xmlns:xm="http://schemas.microsoft.com/office/excel/2006/main">
          <x14:cfRule type="expression" priority="1059" id="{F92D0C3A-CBEC-4FCE-86A8-17D840D00825}">
            <xm:f>$R$8='Assessment Details'!$Q$23</xm:f>
            <x14:dxf>
              <border>
                <left style="thin">
                  <color theme="0"/>
                </left>
                <right style="thin">
                  <color theme="0"/>
                </right>
                <top style="thin">
                  <color theme="0"/>
                </top>
                <bottom style="thin">
                  <color theme="0"/>
                </bottom>
                <vertical/>
                <horizontal/>
              </border>
            </x14:dxf>
          </x14:cfRule>
          <xm:sqref>AA37</xm:sqref>
        </x14:conditionalFormatting>
        <x14:conditionalFormatting xmlns:xm="http://schemas.microsoft.com/office/excel/2006/main">
          <x14:cfRule type="expression" priority="1057" id="{027B81C1-6272-451D-B4B8-47058050C058}">
            <xm:f>$R$8='Assessment Details'!$Q$23</xm:f>
            <x14:dxf>
              <font>
                <color theme="0"/>
              </font>
              <fill>
                <patternFill>
                  <bgColor theme="0"/>
                </patternFill>
              </fill>
              <border>
                <vertical/>
                <horizontal/>
              </border>
            </x14:dxf>
          </x14:cfRule>
          <xm:sqref>AA64</xm:sqref>
        </x14:conditionalFormatting>
        <x14:conditionalFormatting xmlns:xm="http://schemas.microsoft.com/office/excel/2006/main">
          <x14:cfRule type="expression" priority="1056" id="{4D3B5EA4-9B11-4F47-A1E2-053463420900}">
            <xm:f>$R$8='Assessment Details'!$Q$23</xm:f>
            <x14:dxf>
              <border>
                <left style="thin">
                  <color theme="0"/>
                </left>
                <right style="thin">
                  <color theme="0"/>
                </right>
                <top style="thin">
                  <color theme="0"/>
                </top>
                <bottom style="thin">
                  <color theme="0"/>
                </bottom>
                <vertical/>
                <horizontal/>
              </border>
            </x14:dxf>
          </x14:cfRule>
          <xm:sqref>AA64</xm:sqref>
        </x14:conditionalFormatting>
        <x14:conditionalFormatting xmlns:xm="http://schemas.microsoft.com/office/excel/2006/main">
          <x14:cfRule type="expression" priority="1054" id="{D1977690-7C99-4F9A-A385-8225523AE7C5}">
            <xm:f>$R$8='Assessment Details'!$Q$23</xm:f>
            <x14:dxf>
              <font>
                <color theme="0"/>
              </font>
              <fill>
                <patternFill>
                  <bgColor theme="0"/>
                </patternFill>
              </fill>
              <border>
                <vertical/>
                <horizontal/>
              </border>
            </x14:dxf>
          </x14:cfRule>
          <xm:sqref>AA93</xm:sqref>
        </x14:conditionalFormatting>
        <x14:conditionalFormatting xmlns:xm="http://schemas.microsoft.com/office/excel/2006/main">
          <x14:cfRule type="expression" priority="1053" id="{02B16B7F-9900-4D08-AD13-3051DACA57E6}">
            <xm:f>$R$8='Assessment Details'!$Q$23</xm:f>
            <x14:dxf>
              <border>
                <left style="thin">
                  <color theme="0"/>
                </left>
                <right style="thin">
                  <color theme="0"/>
                </right>
                <top style="thin">
                  <color theme="0"/>
                </top>
                <bottom style="thin">
                  <color theme="0"/>
                </bottom>
                <vertical/>
                <horizontal/>
              </border>
            </x14:dxf>
          </x14:cfRule>
          <xm:sqref>AA93</xm:sqref>
        </x14:conditionalFormatting>
        <x14:conditionalFormatting xmlns:xm="http://schemas.microsoft.com/office/excel/2006/main">
          <x14:cfRule type="expression" priority="1051" id="{851B2D0E-EE59-432B-86AE-4FC98C58D018}">
            <xm:f>$R$8='Assessment Details'!$Q$23</xm:f>
            <x14:dxf>
              <font>
                <color theme="0"/>
              </font>
              <fill>
                <patternFill>
                  <bgColor theme="0"/>
                </patternFill>
              </fill>
              <border>
                <vertical/>
                <horizontal/>
              </border>
            </x14:dxf>
          </x14:cfRule>
          <xm:sqref>AA102</xm:sqref>
        </x14:conditionalFormatting>
        <x14:conditionalFormatting xmlns:xm="http://schemas.microsoft.com/office/excel/2006/main">
          <x14:cfRule type="expression" priority="1050" id="{AF11453C-7B9A-47F5-A23D-103B7E6120F5}">
            <xm:f>$R$8='Assessment Details'!$Q$23</xm:f>
            <x14:dxf>
              <border>
                <left style="thin">
                  <color theme="0"/>
                </left>
                <right style="thin">
                  <color theme="0"/>
                </right>
                <top style="thin">
                  <color theme="0"/>
                </top>
                <bottom style="thin">
                  <color theme="0"/>
                </bottom>
                <vertical/>
                <horizontal/>
              </border>
            </x14:dxf>
          </x14:cfRule>
          <xm:sqref>AA102</xm:sqref>
        </x14:conditionalFormatting>
        <x14:conditionalFormatting xmlns:xm="http://schemas.microsoft.com/office/excel/2006/main">
          <x14:cfRule type="expression" priority="1048" id="{BDA04989-118F-431C-9128-402229EDB742}">
            <xm:f>$R$8='Assessment Details'!$Q$23</xm:f>
            <x14:dxf>
              <font>
                <color theme="0"/>
              </font>
              <fill>
                <patternFill>
                  <bgColor theme="0"/>
                </patternFill>
              </fill>
              <border>
                <vertical/>
                <horizontal/>
              </border>
            </x14:dxf>
          </x14:cfRule>
          <xm:sqref>AA115</xm:sqref>
        </x14:conditionalFormatting>
        <x14:conditionalFormatting xmlns:xm="http://schemas.microsoft.com/office/excel/2006/main">
          <x14:cfRule type="expression" priority="1047" id="{DD27F743-136F-4F86-96CC-24A0C7078F4D}">
            <xm:f>$R$8='Assessment Details'!$Q$23</xm:f>
            <x14:dxf>
              <border>
                <left style="thin">
                  <color theme="0"/>
                </left>
                <right style="thin">
                  <color theme="0"/>
                </right>
                <top style="thin">
                  <color theme="0"/>
                </top>
                <bottom style="thin">
                  <color theme="0"/>
                </bottom>
                <vertical/>
                <horizontal/>
              </border>
            </x14:dxf>
          </x14:cfRule>
          <xm:sqref>AA115</xm:sqref>
        </x14:conditionalFormatting>
        <x14:conditionalFormatting xmlns:xm="http://schemas.microsoft.com/office/excel/2006/main">
          <x14:cfRule type="expression" priority="1045" id="{FF303370-E145-4234-90FB-DE980C45532D}">
            <xm:f>$R$8='Assessment Details'!$Q$23</xm:f>
            <x14:dxf>
              <font>
                <color theme="0"/>
              </font>
              <fill>
                <patternFill>
                  <bgColor theme="0"/>
                </patternFill>
              </fill>
              <border>
                <vertical/>
                <horizontal/>
              </border>
            </x14:dxf>
          </x14:cfRule>
          <xm:sqref>AA144</xm:sqref>
        </x14:conditionalFormatting>
        <x14:conditionalFormatting xmlns:xm="http://schemas.microsoft.com/office/excel/2006/main">
          <x14:cfRule type="expression" priority="1044" id="{2632A259-519C-48E3-8FBB-B6242A1337A6}">
            <xm:f>$R$8='Assessment Details'!$Q$23</xm:f>
            <x14:dxf>
              <border>
                <left style="thin">
                  <color theme="0"/>
                </left>
                <right style="thin">
                  <color theme="0"/>
                </right>
                <top style="thin">
                  <color theme="0"/>
                </top>
                <bottom style="thin">
                  <color theme="0"/>
                </bottom>
                <vertical/>
                <horizontal/>
              </border>
            </x14:dxf>
          </x14:cfRule>
          <xm:sqref>AA144</xm:sqref>
        </x14:conditionalFormatting>
        <x14:conditionalFormatting xmlns:xm="http://schemas.microsoft.com/office/excel/2006/main">
          <x14:cfRule type="expression" priority="1042" id="{187E2EFC-BF3D-45C7-925F-2464160CBCBF}">
            <xm:f>$R$8='Assessment Details'!$Q$23</xm:f>
            <x14:dxf>
              <font>
                <color theme="0"/>
              </font>
              <fill>
                <patternFill>
                  <bgColor theme="0"/>
                </patternFill>
              </fill>
              <border>
                <vertical/>
                <horizontal/>
              </border>
            </x14:dxf>
          </x14:cfRule>
          <xm:sqref>AA158</xm:sqref>
        </x14:conditionalFormatting>
        <x14:conditionalFormatting xmlns:xm="http://schemas.microsoft.com/office/excel/2006/main">
          <x14:cfRule type="expression" priority="1041" id="{3C5F7B95-E605-4AD1-9B8A-92CCF8687D8A}">
            <xm:f>$R$8='Assessment Details'!$Q$23</xm:f>
            <x14:dxf>
              <border>
                <left style="thin">
                  <color theme="0"/>
                </left>
                <right style="thin">
                  <color theme="0"/>
                </right>
                <top style="thin">
                  <color theme="0"/>
                </top>
                <bottom style="thin">
                  <color theme="0"/>
                </bottom>
                <vertical/>
                <horizontal/>
              </border>
            </x14:dxf>
          </x14:cfRule>
          <xm:sqref>AA158</xm:sqref>
        </x14:conditionalFormatting>
        <x14:conditionalFormatting xmlns:xm="http://schemas.microsoft.com/office/excel/2006/main">
          <x14:cfRule type="expression" priority="1039" id="{8312C7E2-5FCA-405D-A25A-378E6A65001A}">
            <xm:f>$R$8='Assessment Details'!$Q$23</xm:f>
            <x14:dxf>
              <font>
                <color theme="0"/>
              </font>
              <fill>
                <patternFill>
                  <bgColor theme="0"/>
                </patternFill>
              </fill>
              <border>
                <vertical/>
                <horizontal/>
              </border>
            </x14:dxf>
          </x14:cfRule>
          <xm:sqref>AA189</xm:sqref>
        </x14:conditionalFormatting>
        <x14:conditionalFormatting xmlns:xm="http://schemas.microsoft.com/office/excel/2006/main">
          <x14:cfRule type="expression" priority="1038" id="{2ABA13B5-80B7-40DC-BBE5-C00321C31963}">
            <xm:f>$R$8='Assessment Details'!$Q$23</xm:f>
            <x14:dxf>
              <border>
                <left style="thin">
                  <color theme="0"/>
                </left>
                <right style="thin">
                  <color theme="0"/>
                </right>
                <top style="thin">
                  <color theme="0"/>
                </top>
                <bottom style="thin">
                  <color theme="0"/>
                </bottom>
                <vertical/>
                <horizontal/>
              </border>
            </x14:dxf>
          </x14:cfRule>
          <xm:sqref>AA189</xm:sqref>
        </x14:conditionalFormatting>
        <x14:conditionalFormatting xmlns:xm="http://schemas.microsoft.com/office/excel/2006/main">
          <x14:cfRule type="expression" priority="1036" id="{A6D317C5-B5ED-435A-990C-B88E15394D9C}">
            <xm:f>$R$8='Assessment Details'!$Q$23</xm:f>
            <x14:dxf>
              <font>
                <color theme="0"/>
              </font>
              <fill>
                <patternFill>
                  <bgColor theme="0"/>
                </patternFill>
              </fill>
              <border>
                <vertical/>
                <horizontal/>
              </border>
            </x14:dxf>
          </x14:cfRule>
          <xm:sqref>AA206</xm:sqref>
        </x14:conditionalFormatting>
        <x14:conditionalFormatting xmlns:xm="http://schemas.microsoft.com/office/excel/2006/main">
          <x14:cfRule type="expression" priority="1035" id="{94E5855F-7FDC-4C62-97F8-C2DC96E16261}">
            <xm:f>$R$8='Assessment Details'!$Q$23</xm:f>
            <x14:dxf>
              <border>
                <left style="thin">
                  <color theme="0"/>
                </left>
                <right style="thin">
                  <color theme="0"/>
                </right>
                <top style="thin">
                  <color theme="0"/>
                </top>
                <bottom style="thin">
                  <color theme="0"/>
                </bottom>
                <vertical/>
                <horizontal/>
              </border>
            </x14:dxf>
          </x14:cfRule>
          <xm:sqref>AA206</xm:sqref>
        </x14:conditionalFormatting>
        <x14:conditionalFormatting xmlns:xm="http://schemas.microsoft.com/office/excel/2006/main">
          <x14:cfRule type="expression" priority="1034" id="{CA85C2F4-B3B6-4EDC-AAA8-13898B5EA085}">
            <xm:f>'Pre-Assessment Estimator'!$AJ$4=ais_no</xm:f>
            <x14:dxf>
              <font>
                <color theme="0"/>
              </font>
              <fill>
                <patternFill>
                  <bgColor theme="0"/>
                </patternFill>
              </fill>
              <border>
                <left/>
                <right/>
                <top/>
                <bottom/>
                <vertical/>
                <horizontal/>
              </border>
            </x14:dxf>
          </x14:cfRule>
          <xm:sqref>AA10:AA221</xm:sqref>
        </x14:conditionalFormatting>
        <x14:conditionalFormatting xmlns:xm="http://schemas.microsoft.com/office/excel/2006/main">
          <x14:cfRule type="expression" priority="1025" id="{91A40F5D-EE13-49A1-A431-4C7B3D2E9120}">
            <xm:f>$R$8='Assessment Details'!$Q$23</xm:f>
            <x14:dxf>
              <font>
                <color theme="0"/>
              </font>
              <fill>
                <patternFill>
                  <bgColor theme="0"/>
                </patternFill>
              </fill>
              <border>
                <vertical/>
                <horizontal/>
              </border>
            </x14:dxf>
          </x14:cfRule>
          <xm:sqref>F11:F35</xm:sqref>
        </x14:conditionalFormatting>
        <x14:conditionalFormatting xmlns:xm="http://schemas.microsoft.com/office/excel/2006/main">
          <x14:cfRule type="expression" priority="1024" id="{25BB7F43-1C6E-4013-94FE-A8FA867514C0}">
            <xm:f>$R$8='Assessment Details'!$Q$23</xm:f>
            <x14:dxf>
              <border>
                <left style="thin">
                  <color theme="0"/>
                </left>
                <right style="thin">
                  <color theme="0"/>
                </right>
                <top style="thin">
                  <color theme="0"/>
                </top>
                <bottom style="thin">
                  <color theme="0"/>
                </bottom>
                <vertical/>
                <horizontal/>
              </border>
            </x14:dxf>
          </x14:cfRule>
          <xm:sqref>F11:F35</xm:sqref>
        </x14:conditionalFormatting>
        <x14:conditionalFormatting xmlns:xm="http://schemas.microsoft.com/office/excel/2006/main">
          <x14:cfRule type="expression" priority="1023" id="{8CAF9B23-775E-4F2C-B1CB-447B2061AE74}">
            <xm:f>$R$8='Assessment Details'!$Q$23</xm:f>
            <x14:dxf>
              <font>
                <color theme="0"/>
              </font>
              <fill>
                <patternFill>
                  <bgColor theme="0"/>
                </patternFill>
              </fill>
              <border>
                <vertical/>
                <horizontal/>
              </border>
            </x14:dxf>
          </x14:cfRule>
          <xm:sqref>T11:T35</xm:sqref>
        </x14:conditionalFormatting>
        <x14:conditionalFormatting xmlns:xm="http://schemas.microsoft.com/office/excel/2006/main">
          <x14:cfRule type="expression" priority="1022" id="{3DF2DC78-BBCF-4376-A8AD-D065CD3831D1}">
            <xm:f>$R$8='Assessment Details'!$Q$23</xm:f>
            <x14:dxf>
              <border>
                <left style="thin">
                  <color theme="0"/>
                </left>
                <right style="thin">
                  <color theme="0"/>
                </right>
                <top style="thin">
                  <color theme="0"/>
                </top>
                <bottom style="thin">
                  <color theme="0"/>
                </bottom>
                <vertical/>
                <horizontal/>
              </border>
            </x14:dxf>
          </x14:cfRule>
          <xm:sqref>T11:T35</xm:sqref>
        </x14:conditionalFormatting>
        <x14:conditionalFormatting xmlns:xm="http://schemas.microsoft.com/office/excel/2006/main">
          <x14:cfRule type="expression" priority="1017" id="{1BC73C47-1758-4EB7-86BE-2E2AD60FD100}">
            <xm:f>$R$8='Assessment Details'!$Q$23</xm:f>
            <x14:dxf>
              <font>
                <color theme="0"/>
              </font>
              <fill>
                <patternFill>
                  <bgColor theme="0"/>
                </patternFill>
              </fill>
              <border>
                <vertical/>
                <horizontal/>
              </border>
            </x14:dxf>
          </x14:cfRule>
          <xm:sqref>M11</xm:sqref>
        </x14:conditionalFormatting>
        <x14:conditionalFormatting xmlns:xm="http://schemas.microsoft.com/office/excel/2006/main">
          <x14:cfRule type="expression" priority="1016" id="{D2619090-6BDB-4792-A8E2-73C3E3F709E0}">
            <xm:f>$R$8='Assessment Details'!$Q$23</xm:f>
            <x14:dxf>
              <border>
                <left style="thin">
                  <color theme="0"/>
                </left>
                <right style="thin">
                  <color theme="0"/>
                </right>
                <top style="thin">
                  <color theme="0"/>
                </top>
                <bottom style="thin">
                  <color theme="0"/>
                </bottom>
                <vertical/>
                <horizontal/>
              </border>
            </x14:dxf>
          </x14:cfRule>
          <xm:sqref>M11</xm:sqref>
        </x14:conditionalFormatting>
        <x14:conditionalFormatting xmlns:xm="http://schemas.microsoft.com/office/excel/2006/main">
          <x14:cfRule type="expression" priority="1011" id="{66255529-4F29-43F6-BFD1-3ADCBB7A00F0}">
            <xm:f>$R$8='Assessment Details'!$Q$23</xm:f>
            <x14:dxf>
              <font>
                <color theme="0"/>
              </font>
              <fill>
                <patternFill>
                  <bgColor theme="0"/>
                </patternFill>
              </fill>
              <border>
                <vertical/>
                <horizontal/>
              </border>
            </x14:dxf>
          </x14:cfRule>
          <xm:sqref>T11</xm:sqref>
        </x14:conditionalFormatting>
        <x14:conditionalFormatting xmlns:xm="http://schemas.microsoft.com/office/excel/2006/main">
          <x14:cfRule type="expression" priority="1010" id="{786DA6F1-B0B2-44B0-ABD6-7C02B98EB7B2}">
            <xm:f>$R$8='Assessment Details'!$Q$23</xm:f>
            <x14:dxf>
              <border>
                <left style="thin">
                  <color theme="0"/>
                </left>
                <right style="thin">
                  <color theme="0"/>
                </right>
                <top style="thin">
                  <color theme="0"/>
                </top>
                <bottom style="thin">
                  <color theme="0"/>
                </bottom>
                <vertical/>
                <horizontal/>
              </border>
            </x14:dxf>
          </x14:cfRule>
          <xm:sqref>T11</xm:sqref>
        </x14:conditionalFormatting>
        <x14:conditionalFormatting xmlns:xm="http://schemas.microsoft.com/office/excel/2006/main">
          <x14:cfRule type="expression" priority="1009" id="{E8E0CC8E-C1ED-4FB6-B617-50244357E13B}">
            <xm:f>$R$8='Assessment Details'!$Q$23</xm:f>
            <x14:dxf>
              <font>
                <color theme="0"/>
              </font>
              <fill>
                <patternFill>
                  <bgColor theme="0"/>
                </patternFill>
              </fill>
              <border>
                <vertical/>
                <horizontal/>
              </border>
            </x14:dxf>
          </x14:cfRule>
          <xm:sqref>V11:V35</xm:sqref>
        </x14:conditionalFormatting>
        <x14:conditionalFormatting xmlns:xm="http://schemas.microsoft.com/office/excel/2006/main">
          <x14:cfRule type="expression" priority="1008" id="{8FA22E55-62A0-4B65-BF55-2B7B3F01900D}">
            <xm:f>$R$8='Assessment Details'!$Q$23</xm:f>
            <x14:dxf>
              <border>
                <left style="thin">
                  <color theme="0"/>
                </left>
                <right style="thin">
                  <color theme="0"/>
                </right>
                <top style="thin">
                  <color theme="0"/>
                </top>
                <bottom style="thin">
                  <color theme="0"/>
                </bottom>
                <vertical/>
                <horizontal/>
              </border>
            </x14:dxf>
          </x14:cfRule>
          <xm:sqref>V11:V35</xm:sqref>
        </x14:conditionalFormatting>
        <x14:conditionalFormatting xmlns:xm="http://schemas.microsoft.com/office/excel/2006/main">
          <x14:cfRule type="expression" priority="6875" id="{DB805B39-675F-4529-AAA9-84C1652FC9E0}">
            <xm:f>$Y$8='Assessment Details'!$Q$23</xm:f>
            <x14:dxf>
              <font>
                <color theme="0"/>
              </font>
              <fill>
                <patternFill>
                  <bgColor theme="0"/>
                </patternFill>
              </fill>
            </x14:dxf>
          </x14:cfRule>
          <xm:sqref>T2:Z2 T10:Z37 T63:Z64 T92:Z93 T101:Z102 Z38:Z62 Z65:Z91 Z94:Z100 Z103:Z221 T71:Y90</xm:sqref>
        </x14:conditionalFormatting>
        <x14:conditionalFormatting xmlns:xm="http://schemas.microsoft.com/office/excel/2006/main">
          <x14:cfRule type="expression" priority="6879" id="{6470B74F-A8AF-495C-B6F5-853222BCD4E5}">
            <xm:f>$Y$8='Assessment Details'!$Q$23</xm:f>
            <x14:dxf>
              <border>
                <left style="thin">
                  <color theme="0"/>
                </left>
                <right style="thin">
                  <color theme="0"/>
                </right>
                <top style="thin">
                  <color theme="0"/>
                </top>
                <bottom style="thin">
                  <color theme="0"/>
                </bottom>
                <vertical/>
                <horizontal/>
              </border>
            </x14:dxf>
          </x14:cfRule>
          <xm:sqref>T2:Z2 T10:Z37 T63:Z64 T92:Z93 T101:Z102 Z38:Z62 Z65:Z91 Z94:Z100 Z103:Z221 T71:Y90</xm:sqref>
        </x14:conditionalFormatting>
        <x14:conditionalFormatting xmlns:xm="http://schemas.microsoft.com/office/excel/2006/main">
          <x14:cfRule type="expression" priority="992" id="{2298EEF2-E470-443F-B53F-42C72C43AD19}">
            <xm:f>$R$8='Assessment Details'!$Q$23</xm:f>
            <x14:dxf>
              <font>
                <color theme="0"/>
              </font>
              <fill>
                <patternFill>
                  <bgColor theme="0"/>
                </patternFill>
              </fill>
              <border>
                <vertical/>
                <horizontal/>
              </border>
            </x14:dxf>
          </x14:cfRule>
          <xm:sqref>M62:R62</xm:sqref>
        </x14:conditionalFormatting>
        <x14:conditionalFormatting xmlns:xm="http://schemas.microsoft.com/office/excel/2006/main">
          <x14:cfRule type="expression" priority="991" id="{F02FCAFD-237A-4971-86FA-60B30CE34A99}">
            <xm:f>$R$8='Assessment Details'!$Q$23</xm:f>
            <x14:dxf>
              <border>
                <left style="thin">
                  <color theme="0"/>
                </left>
                <right style="thin">
                  <color theme="0"/>
                </right>
                <top style="thin">
                  <color theme="0"/>
                </top>
                <bottom style="thin">
                  <color theme="0"/>
                </bottom>
                <vertical/>
                <horizontal/>
              </border>
            </x14:dxf>
          </x14:cfRule>
          <xm:sqref>M62:R62</xm:sqref>
        </x14:conditionalFormatting>
        <x14:conditionalFormatting xmlns:xm="http://schemas.microsoft.com/office/excel/2006/main">
          <x14:cfRule type="expression" priority="990" id="{74BF6AB4-4ABE-453C-B3E5-BE12679CD5B4}">
            <xm:f>$R$8='Assessment Details'!$Q$23</xm:f>
            <x14:dxf>
              <font>
                <color theme="0"/>
              </font>
              <fill>
                <patternFill>
                  <bgColor theme="0"/>
                </patternFill>
              </fill>
              <border>
                <vertical/>
                <horizontal/>
              </border>
            </x14:dxf>
          </x14:cfRule>
          <xm:sqref>F62</xm:sqref>
        </x14:conditionalFormatting>
        <x14:conditionalFormatting xmlns:xm="http://schemas.microsoft.com/office/excel/2006/main">
          <x14:cfRule type="expression" priority="989" id="{8B45EB01-FFD3-4C24-88F9-D8238CE5143B}">
            <xm:f>$R$8='Assessment Details'!$Q$23</xm:f>
            <x14:dxf>
              <border>
                <left style="thin">
                  <color theme="0"/>
                </left>
                <right style="thin">
                  <color theme="0"/>
                </right>
                <top style="thin">
                  <color theme="0"/>
                </top>
                <bottom style="thin">
                  <color theme="0"/>
                </bottom>
                <vertical/>
                <horizontal/>
              </border>
            </x14:dxf>
          </x14:cfRule>
          <xm:sqref>F62</xm:sqref>
        </x14:conditionalFormatting>
        <x14:conditionalFormatting xmlns:xm="http://schemas.microsoft.com/office/excel/2006/main">
          <x14:cfRule type="expression" priority="988" id="{CBF5C216-270B-4918-BA3E-52FA360B4524}">
            <xm:f>$R$8='Assessment Details'!$Q$23</xm:f>
            <x14:dxf>
              <font>
                <color theme="0"/>
              </font>
              <fill>
                <patternFill>
                  <bgColor theme="0"/>
                </patternFill>
              </fill>
              <border>
                <vertical/>
                <horizontal/>
              </border>
            </x14:dxf>
          </x14:cfRule>
          <xm:sqref>T62</xm:sqref>
        </x14:conditionalFormatting>
        <x14:conditionalFormatting xmlns:xm="http://schemas.microsoft.com/office/excel/2006/main">
          <x14:cfRule type="expression" priority="987" id="{3BA86F3E-1084-48B8-BAE0-F7699C420902}">
            <xm:f>$R$8='Assessment Details'!$Q$23</xm:f>
            <x14:dxf>
              <border>
                <left style="thin">
                  <color theme="0"/>
                </left>
                <right style="thin">
                  <color theme="0"/>
                </right>
                <top style="thin">
                  <color theme="0"/>
                </top>
                <bottom style="thin">
                  <color theme="0"/>
                </bottom>
                <vertical/>
                <horizontal/>
              </border>
            </x14:dxf>
          </x14:cfRule>
          <xm:sqref>T62</xm:sqref>
        </x14:conditionalFormatting>
        <x14:conditionalFormatting xmlns:xm="http://schemas.microsoft.com/office/excel/2006/main">
          <x14:cfRule type="expression" priority="986" id="{72E64144-6FFD-48BF-A705-7EA30C4EFA31}">
            <xm:f>$R$8='Assessment Details'!$Q$23</xm:f>
            <x14:dxf>
              <font>
                <color theme="0"/>
              </font>
              <fill>
                <patternFill>
                  <bgColor theme="0"/>
                </patternFill>
              </fill>
              <border>
                <vertical/>
                <horizontal/>
              </border>
            </x14:dxf>
          </x14:cfRule>
          <xm:sqref>V62</xm:sqref>
        </x14:conditionalFormatting>
        <x14:conditionalFormatting xmlns:xm="http://schemas.microsoft.com/office/excel/2006/main">
          <x14:cfRule type="expression" priority="985" id="{5DF2B492-F90B-4162-8AE4-E733DD748AE4}">
            <xm:f>$R$8='Assessment Details'!$Q$23</xm:f>
            <x14:dxf>
              <border>
                <left style="thin">
                  <color theme="0"/>
                </left>
                <right style="thin">
                  <color theme="0"/>
                </right>
                <top style="thin">
                  <color theme="0"/>
                </top>
                <bottom style="thin">
                  <color theme="0"/>
                </bottom>
                <vertical/>
                <horizontal/>
              </border>
            </x14:dxf>
          </x14:cfRule>
          <xm:sqref>V62</xm:sqref>
        </x14:conditionalFormatting>
        <x14:conditionalFormatting xmlns:xm="http://schemas.microsoft.com/office/excel/2006/main">
          <x14:cfRule type="expression" priority="1006" id="{DDE52D2E-1E3C-4979-8EC8-6DEE293965C2}">
            <xm:f>$Y$8='Assessment Details'!$Q$23</xm:f>
            <x14:dxf>
              <font>
                <color theme="0"/>
              </font>
              <fill>
                <patternFill>
                  <bgColor theme="0"/>
                </patternFill>
              </fill>
            </x14:dxf>
          </x14:cfRule>
          <xm:sqref>T62:Y62</xm:sqref>
        </x14:conditionalFormatting>
        <x14:conditionalFormatting xmlns:xm="http://schemas.microsoft.com/office/excel/2006/main">
          <x14:cfRule type="expression" priority="1007" id="{D7372E7F-6A45-4FAB-8CA3-6F4D54C418E7}">
            <xm:f>$Y$8='Assessment Details'!$Q$23</xm:f>
            <x14:dxf>
              <border>
                <left style="thin">
                  <color theme="0"/>
                </left>
                <right style="thin">
                  <color theme="0"/>
                </right>
                <top style="thin">
                  <color theme="0"/>
                </top>
                <bottom style="thin">
                  <color theme="0"/>
                </bottom>
                <vertical/>
                <horizontal/>
              </border>
            </x14:dxf>
          </x14:cfRule>
          <xm:sqref>T62:Y62</xm:sqref>
        </x14:conditionalFormatting>
        <x14:conditionalFormatting xmlns:xm="http://schemas.microsoft.com/office/excel/2006/main">
          <x14:cfRule type="expression" priority="969" id="{28C3C2BD-E73D-4494-8B6F-8E058FE9734D}">
            <xm:f>$R$8='Assessment Details'!$Q$23</xm:f>
            <x14:dxf>
              <font>
                <color theme="0"/>
              </font>
              <fill>
                <patternFill>
                  <bgColor theme="0"/>
                </patternFill>
              </fill>
              <border>
                <vertical/>
                <horizontal/>
              </border>
            </x14:dxf>
          </x14:cfRule>
          <xm:sqref>M91:R91</xm:sqref>
        </x14:conditionalFormatting>
        <x14:conditionalFormatting xmlns:xm="http://schemas.microsoft.com/office/excel/2006/main">
          <x14:cfRule type="expression" priority="968" id="{074C1696-F965-4065-A9BB-04540D9CEFC0}">
            <xm:f>$R$8='Assessment Details'!$Q$23</xm:f>
            <x14:dxf>
              <border>
                <left style="thin">
                  <color theme="0"/>
                </left>
                <right style="thin">
                  <color theme="0"/>
                </right>
                <top style="thin">
                  <color theme="0"/>
                </top>
                <bottom style="thin">
                  <color theme="0"/>
                </bottom>
                <vertical/>
                <horizontal/>
              </border>
            </x14:dxf>
          </x14:cfRule>
          <xm:sqref>M91:R91</xm:sqref>
        </x14:conditionalFormatting>
        <x14:conditionalFormatting xmlns:xm="http://schemas.microsoft.com/office/excel/2006/main">
          <x14:cfRule type="expression" priority="967" id="{27722DD9-AEEA-49F7-8B9E-F80E4399173D}">
            <xm:f>$R$8='Assessment Details'!$Q$23</xm:f>
            <x14:dxf>
              <font>
                <color theme="0"/>
              </font>
              <fill>
                <patternFill>
                  <bgColor theme="0"/>
                </patternFill>
              </fill>
              <border>
                <vertical/>
                <horizontal/>
              </border>
            </x14:dxf>
          </x14:cfRule>
          <xm:sqref>F91</xm:sqref>
        </x14:conditionalFormatting>
        <x14:conditionalFormatting xmlns:xm="http://schemas.microsoft.com/office/excel/2006/main">
          <x14:cfRule type="expression" priority="966" id="{DDFAADA0-5956-48C0-BB4B-E4386CCFDE34}">
            <xm:f>$R$8='Assessment Details'!$Q$23</xm:f>
            <x14:dxf>
              <border>
                <left style="thin">
                  <color theme="0"/>
                </left>
                <right style="thin">
                  <color theme="0"/>
                </right>
                <top style="thin">
                  <color theme="0"/>
                </top>
                <bottom style="thin">
                  <color theme="0"/>
                </bottom>
                <vertical/>
                <horizontal/>
              </border>
            </x14:dxf>
          </x14:cfRule>
          <xm:sqref>F91</xm:sqref>
        </x14:conditionalFormatting>
        <x14:conditionalFormatting xmlns:xm="http://schemas.microsoft.com/office/excel/2006/main">
          <x14:cfRule type="expression" priority="965" id="{7626F755-BD30-4B95-8FF9-61BB470D4AE5}">
            <xm:f>$R$8='Assessment Details'!$Q$23</xm:f>
            <x14:dxf>
              <font>
                <color theme="0"/>
              </font>
              <fill>
                <patternFill>
                  <bgColor theme="0"/>
                </patternFill>
              </fill>
              <border>
                <vertical/>
                <horizontal/>
              </border>
            </x14:dxf>
          </x14:cfRule>
          <xm:sqref>T91</xm:sqref>
        </x14:conditionalFormatting>
        <x14:conditionalFormatting xmlns:xm="http://schemas.microsoft.com/office/excel/2006/main">
          <x14:cfRule type="expression" priority="964" id="{9C1229C9-1672-47D2-ADE6-9A30C3F01FB3}">
            <xm:f>$R$8='Assessment Details'!$Q$23</xm:f>
            <x14:dxf>
              <border>
                <left style="thin">
                  <color theme="0"/>
                </left>
                <right style="thin">
                  <color theme="0"/>
                </right>
                <top style="thin">
                  <color theme="0"/>
                </top>
                <bottom style="thin">
                  <color theme="0"/>
                </bottom>
                <vertical/>
                <horizontal/>
              </border>
            </x14:dxf>
          </x14:cfRule>
          <xm:sqref>T91</xm:sqref>
        </x14:conditionalFormatting>
        <x14:conditionalFormatting xmlns:xm="http://schemas.microsoft.com/office/excel/2006/main">
          <x14:cfRule type="expression" priority="963" id="{A0B802F6-4141-411F-848C-73D4DE6FF722}">
            <xm:f>$R$8='Assessment Details'!$Q$23</xm:f>
            <x14:dxf>
              <font>
                <color theme="0"/>
              </font>
              <fill>
                <patternFill>
                  <bgColor theme="0"/>
                </patternFill>
              </fill>
              <border>
                <vertical/>
                <horizontal/>
              </border>
            </x14:dxf>
          </x14:cfRule>
          <xm:sqref>V91</xm:sqref>
        </x14:conditionalFormatting>
        <x14:conditionalFormatting xmlns:xm="http://schemas.microsoft.com/office/excel/2006/main">
          <x14:cfRule type="expression" priority="962" id="{F02BC133-491D-402D-AC41-2A263B5F9395}">
            <xm:f>$R$8='Assessment Details'!$Q$23</xm:f>
            <x14:dxf>
              <border>
                <left style="thin">
                  <color theme="0"/>
                </left>
                <right style="thin">
                  <color theme="0"/>
                </right>
                <top style="thin">
                  <color theme="0"/>
                </top>
                <bottom style="thin">
                  <color theme="0"/>
                </bottom>
                <vertical/>
                <horizontal/>
              </border>
            </x14:dxf>
          </x14:cfRule>
          <xm:sqref>V91</xm:sqref>
        </x14:conditionalFormatting>
        <x14:conditionalFormatting xmlns:xm="http://schemas.microsoft.com/office/excel/2006/main">
          <x14:cfRule type="expression" priority="983" id="{ED122FC8-685A-4CD0-B196-3B87E709F630}">
            <xm:f>$Y$8='Assessment Details'!$Q$23</xm:f>
            <x14:dxf>
              <font>
                <color theme="0"/>
              </font>
              <fill>
                <patternFill>
                  <bgColor theme="0"/>
                </patternFill>
              </fill>
            </x14:dxf>
          </x14:cfRule>
          <xm:sqref>T91:Y91</xm:sqref>
        </x14:conditionalFormatting>
        <x14:conditionalFormatting xmlns:xm="http://schemas.microsoft.com/office/excel/2006/main">
          <x14:cfRule type="expression" priority="984" id="{37BD6D06-D11A-49DB-8816-96940871D5C0}">
            <xm:f>$Y$8='Assessment Details'!$Q$23</xm:f>
            <x14:dxf>
              <border>
                <left style="thin">
                  <color theme="0"/>
                </left>
                <right style="thin">
                  <color theme="0"/>
                </right>
                <top style="thin">
                  <color theme="0"/>
                </top>
                <bottom style="thin">
                  <color theme="0"/>
                </bottom>
                <vertical/>
                <horizontal/>
              </border>
            </x14:dxf>
          </x14:cfRule>
          <xm:sqref>T91:Y91</xm:sqref>
        </x14:conditionalFormatting>
        <x14:conditionalFormatting xmlns:xm="http://schemas.microsoft.com/office/excel/2006/main">
          <x14:cfRule type="expression" priority="946" id="{7AA700BF-8308-41D7-833B-82FD6E7F9262}">
            <xm:f>$R$8='Assessment Details'!$Q$23</xm:f>
            <x14:dxf>
              <font>
                <color theme="0"/>
              </font>
              <fill>
                <patternFill>
                  <bgColor theme="0"/>
                </patternFill>
              </fill>
              <border>
                <vertical/>
                <horizontal/>
              </border>
            </x14:dxf>
          </x14:cfRule>
          <xm:sqref>M100:R100</xm:sqref>
        </x14:conditionalFormatting>
        <x14:conditionalFormatting xmlns:xm="http://schemas.microsoft.com/office/excel/2006/main">
          <x14:cfRule type="expression" priority="945" id="{0FA4A83B-69D5-4C51-A6A3-5A737EA07BE0}">
            <xm:f>$R$8='Assessment Details'!$Q$23</xm:f>
            <x14:dxf>
              <border>
                <left style="thin">
                  <color theme="0"/>
                </left>
                <right style="thin">
                  <color theme="0"/>
                </right>
                <top style="thin">
                  <color theme="0"/>
                </top>
                <bottom style="thin">
                  <color theme="0"/>
                </bottom>
                <vertical/>
                <horizontal/>
              </border>
            </x14:dxf>
          </x14:cfRule>
          <xm:sqref>M100:R100</xm:sqref>
        </x14:conditionalFormatting>
        <x14:conditionalFormatting xmlns:xm="http://schemas.microsoft.com/office/excel/2006/main">
          <x14:cfRule type="expression" priority="944" id="{F21151FC-D5C3-42E0-9A86-C2A9031DC0EB}">
            <xm:f>$R$8='Assessment Details'!$Q$23</xm:f>
            <x14:dxf>
              <font>
                <color theme="0"/>
              </font>
              <fill>
                <patternFill>
                  <bgColor theme="0"/>
                </patternFill>
              </fill>
              <border>
                <vertical/>
                <horizontal/>
              </border>
            </x14:dxf>
          </x14:cfRule>
          <xm:sqref>F100</xm:sqref>
        </x14:conditionalFormatting>
        <x14:conditionalFormatting xmlns:xm="http://schemas.microsoft.com/office/excel/2006/main">
          <x14:cfRule type="expression" priority="943" id="{E0C6D475-8D15-4C28-B210-641FF14B3A49}">
            <xm:f>$R$8='Assessment Details'!$Q$23</xm:f>
            <x14:dxf>
              <border>
                <left style="thin">
                  <color theme="0"/>
                </left>
                <right style="thin">
                  <color theme="0"/>
                </right>
                <top style="thin">
                  <color theme="0"/>
                </top>
                <bottom style="thin">
                  <color theme="0"/>
                </bottom>
                <vertical/>
                <horizontal/>
              </border>
            </x14:dxf>
          </x14:cfRule>
          <xm:sqref>F100</xm:sqref>
        </x14:conditionalFormatting>
        <x14:conditionalFormatting xmlns:xm="http://schemas.microsoft.com/office/excel/2006/main">
          <x14:cfRule type="expression" priority="942" id="{33965755-1D96-4E8D-83F2-5EC690BE09B0}">
            <xm:f>$R$8='Assessment Details'!$Q$23</xm:f>
            <x14:dxf>
              <font>
                <color theme="0"/>
              </font>
              <fill>
                <patternFill>
                  <bgColor theme="0"/>
                </patternFill>
              </fill>
              <border>
                <vertical/>
                <horizontal/>
              </border>
            </x14:dxf>
          </x14:cfRule>
          <xm:sqref>T100</xm:sqref>
        </x14:conditionalFormatting>
        <x14:conditionalFormatting xmlns:xm="http://schemas.microsoft.com/office/excel/2006/main">
          <x14:cfRule type="expression" priority="941" id="{81DA8577-C4D2-4D60-B1A7-4DBDA5DD5CE0}">
            <xm:f>$R$8='Assessment Details'!$Q$23</xm:f>
            <x14:dxf>
              <border>
                <left style="thin">
                  <color theme="0"/>
                </left>
                <right style="thin">
                  <color theme="0"/>
                </right>
                <top style="thin">
                  <color theme="0"/>
                </top>
                <bottom style="thin">
                  <color theme="0"/>
                </bottom>
                <vertical/>
                <horizontal/>
              </border>
            </x14:dxf>
          </x14:cfRule>
          <xm:sqref>T100</xm:sqref>
        </x14:conditionalFormatting>
        <x14:conditionalFormatting xmlns:xm="http://schemas.microsoft.com/office/excel/2006/main">
          <x14:cfRule type="expression" priority="940" id="{C3E2AB4D-853E-4EE3-A770-FB3D4DC5CFB8}">
            <xm:f>$R$8='Assessment Details'!$Q$23</xm:f>
            <x14:dxf>
              <font>
                <color theme="0"/>
              </font>
              <fill>
                <patternFill>
                  <bgColor theme="0"/>
                </patternFill>
              </fill>
              <border>
                <vertical/>
                <horizontal/>
              </border>
            </x14:dxf>
          </x14:cfRule>
          <xm:sqref>V100</xm:sqref>
        </x14:conditionalFormatting>
        <x14:conditionalFormatting xmlns:xm="http://schemas.microsoft.com/office/excel/2006/main">
          <x14:cfRule type="expression" priority="939" id="{22F2B09E-E77C-4A35-9724-B076655A268F}">
            <xm:f>$R$8='Assessment Details'!$Q$23</xm:f>
            <x14:dxf>
              <border>
                <left style="thin">
                  <color theme="0"/>
                </left>
                <right style="thin">
                  <color theme="0"/>
                </right>
                <top style="thin">
                  <color theme="0"/>
                </top>
                <bottom style="thin">
                  <color theme="0"/>
                </bottom>
                <vertical/>
                <horizontal/>
              </border>
            </x14:dxf>
          </x14:cfRule>
          <xm:sqref>V100</xm:sqref>
        </x14:conditionalFormatting>
        <x14:conditionalFormatting xmlns:xm="http://schemas.microsoft.com/office/excel/2006/main">
          <x14:cfRule type="expression" priority="960" id="{0253E361-59AA-4EF7-B5FB-2B4A9F3133B7}">
            <xm:f>$Y$8='Assessment Details'!$Q$23</xm:f>
            <x14:dxf>
              <font>
                <color theme="0"/>
              </font>
              <fill>
                <patternFill>
                  <bgColor theme="0"/>
                </patternFill>
              </fill>
            </x14:dxf>
          </x14:cfRule>
          <xm:sqref>T100:Y100</xm:sqref>
        </x14:conditionalFormatting>
        <x14:conditionalFormatting xmlns:xm="http://schemas.microsoft.com/office/excel/2006/main">
          <x14:cfRule type="expression" priority="961" id="{A6659ED7-93B4-4CE8-A9C7-02A05248F6FE}">
            <xm:f>$Y$8='Assessment Details'!$Q$23</xm:f>
            <x14:dxf>
              <border>
                <left style="thin">
                  <color theme="0"/>
                </left>
                <right style="thin">
                  <color theme="0"/>
                </right>
                <top style="thin">
                  <color theme="0"/>
                </top>
                <bottom style="thin">
                  <color theme="0"/>
                </bottom>
                <vertical/>
                <horizontal/>
              </border>
            </x14:dxf>
          </x14:cfRule>
          <xm:sqref>T100:Y100</xm:sqref>
        </x14:conditionalFormatting>
        <x14:conditionalFormatting xmlns:xm="http://schemas.microsoft.com/office/excel/2006/main">
          <x14:cfRule type="expression" priority="762" id="{9C42B326-4946-45BE-9FA3-67FDB0291C68}">
            <xm:f>$R$8='Assessment Details'!$Q$23</xm:f>
            <x14:dxf>
              <font>
                <color theme="0"/>
              </font>
              <fill>
                <patternFill>
                  <bgColor theme="0"/>
                </patternFill>
              </fill>
              <border>
                <vertical/>
                <horizontal/>
              </border>
            </x14:dxf>
          </x14:cfRule>
          <xm:sqref>M38:R61</xm:sqref>
        </x14:conditionalFormatting>
        <x14:conditionalFormatting xmlns:xm="http://schemas.microsoft.com/office/excel/2006/main">
          <x14:cfRule type="expression" priority="761" id="{5D6CE809-3ABC-4CAA-9C25-4DCB04855D26}">
            <xm:f>$R$8='Assessment Details'!$Q$23</xm:f>
            <x14:dxf>
              <border>
                <left style="thin">
                  <color theme="0"/>
                </left>
                <right style="thin">
                  <color theme="0"/>
                </right>
                <top style="thin">
                  <color theme="0"/>
                </top>
                <bottom style="thin">
                  <color theme="0"/>
                </bottom>
                <vertical/>
                <horizontal/>
              </border>
            </x14:dxf>
          </x14:cfRule>
          <xm:sqref>M38:R61</xm:sqref>
        </x14:conditionalFormatting>
        <x14:conditionalFormatting xmlns:xm="http://schemas.microsoft.com/office/excel/2006/main">
          <x14:cfRule type="expression" priority="760" id="{3EB1206A-4193-4D0A-B517-6ACDCEB1C113}">
            <xm:f>$R$8='Assessment Details'!$Q$23</xm:f>
            <x14:dxf>
              <font>
                <color theme="0"/>
              </font>
              <fill>
                <patternFill>
                  <bgColor theme="0"/>
                </patternFill>
              </fill>
              <border>
                <vertical/>
                <horizontal/>
              </border>
            </x14:dxf>
          </x14:cfRule>
          <xm:sqref>F38:F61</xm:sqref>
        </x14:conditionalFormatting>
        <x14:conditionalFormatting xmlns:xm="http://schemas.microsoft.com/office/excel/2006/main">
          <x14:cfRule type="expression" priority="759" id="{30E26A2C-1B8E-48F0-BA66-8AFE45EE3DF2}">
            <xm:f>$R$8='Assessment Details'!$Q$23</xm:f>
            <x14:dxf>
              <border>
                <left style="thin">
                  <color theme="0"/>
                </left>
                <right style="thin">
                  <color theme="0"/>
                </right>
                <top style="thin">
                  <color theme="0"/>
                </top>
                <bottom style="thin">
                  <color theme="0"/>
                </bottom>
                <vertical/>
                <horizontal/>
              </border>
            </x14:dxf>
          </x14:cfRule>
          <xm:sqref>F38:F61</xm:sqref>
        </x14:conditionalFormatting>
        <x14:conditionalFormatting xmlns:xm="http://schemas.microsoft.com/office/excel/2006/main">
          <x14:cfRule type="expression" priority="758" id="{7B8499D6-4B13-49D3-B4C8-E519E69B9855}">
            <xm:f>$R$8='Assessment Details'!$Q$23</xm:f>
            <x14:dxf>
              <font>
                <color theme="0"/>
              </font>
              <fill>
                <patternFill>
                  <bgColor theme="0"/>
                </patternFill>
              </fill>
              <border>
                <vertical/>
                <horizontal/>
              </border>
            </x14:dxf>
          </x14:cfRule>
          <xm:sqref>T38:T61</xm:sqref>
        </x14:conditionalFormatting>
        <x14:conditionalFormatting xmlns:xm="http://schemas.microsoft.com/office/excel/2006/main">
          <x14:cfRule type="expression" priority="757" id="{A117033E-E655-4A44-BFA9-08E218A7EB1E}">
            <xm:f>$R$8='Assessment Details'!$Q$23</xm:f>
            <x14:dxf>
              <border>
                <left style="thin">
                  <color theme="0"/>
                </left>
                <right style="thin">
                  <color theme="0"/>
                </right>
                <top style="thin">
                  <color theme="0"/>
                </top>
                <bottom style="thin">
                  <color theme="0"/>
                </bottom>
                <vertical/>
                <horizontal/>
              </border>
            </x14:dxf>
          </x14:cfRule>
          <xm:sqref>T38:T61</xm:sqref>
        </x14:conditionalFormatting>
        <x14:conditionalFormatting xmlns:xm="http://schemas.microsoft.com/office/excel/2006/main">
          <x14:cfRule type="expression" priority="752" id="{58BBA893-EE42-479E-A228-CEB617BB1DFE}">
            <xm:f>$R$8='Assessment Details'!$Q$23</xm:f>
            <x14:dxf>
              <font>
                <color theme="0"/>
              </font>
              <fill>
                <patternFill>
                  <bgColor theme="0"/>
                </patternFill>
              </fill>
              <border>
                <vertical/>
                <horizontal/>
              </border>
            </x14:dxf>
          </x14:cfRule>
          <xm:sqref>M38:M61</xm:sqref>
        </x14:conditionalFormatting>
        <x14:conditionalFormatting xmlns:xm="http://schemas.microsoft.com/office/excel/2006/main">
          <x14:cfRule type="expression" priority="751" id="{60E74A6C-F277-4877-A9A1-CD29765B9645}">
            <xm:f>$R$8='Assessment Details'!$Q$23</xm:f>
            <x14:dxf>
              <border>
                <left style="thin">
                  <color theme="0"/>
                </left>
                <right style="thin">
                  <color theme="0"/>
                </right>
                <top style="thin">
                  <color theme="0"/>
                </top>
                <bottom style="thin">
                  <color theme="0"/>
                </bottom>
                <vertical/>
                <horizontal/>
              </border>
            </x14:dxf>
          </x14:cfRule>
          <xm:sqref>M38:M61</xm:sqref>
        </x14:conditionalFormatting>
        <x14:conditionalFormatting xmlns:xm="http://schemas.microsoft.com/office/excel/2006/main">
          <x14:cfRule type="expression" priority="746" id="{BB31C667-15BE-44DF-8F3B-9A880991D59B}">
            <xm:f>$R$8='Assessment Details'!$Q$23</xm:f>
            <x14:dxf>
              <font>
                <color theme="0"/>
              </font>
              <fill>
                <patternFill>
                  <bgColor theme="0"/>
                </patternFill>
              </fill>
              <border>
                <vertical/>
                <horizontal/>
              </border>
            </x14:dxf>
          </x14:cfRule>
          <xm:sqref>T38:T61</xm:sqref>
        </x14:conditionalFormatting>
        <x14:conditionalFormatting xmlns:xm="http://schemas.microsoft.com/office/excel/2006/main">
          <x14:cfRule type="expression" priority="745" id="{24CC7E33-6DA0-4FC9-B3D0-1954DB89AA81}">
            <xm:f>$R$8='Assessment Details'!$Q$23</xm:f>
            <x14:dxf>
              <border>
                <left style="thin">
                  <color theme="0"/>
                </left>
                <right style="thin">
                  <color theme="0"/>
                </right>
                <top style="thin">
                  <color theme="0"/>
                </top>
                <bottom style="thin">
                  <color theme="0"/>
                </bottom>
                <vertical/>
                <horizontal/>
              </border>
            </x14:dxf>
          </x14:cfRule>
          <xm:sqref>T38:T61</xm:sqref>
        </x14:conditionalFormatting>
        <x14:conditionalFormatting xmlns:xm="http://schemas.microsoft.com/office/excel/2006/main">
          <x14:cfRule type="expression" priority="744" id="{929D4BA1-9A0C-4A8B-A3B4-6BCE04D15D41}">
            <xm:f>$R$8='Assessment Details'!$Q$23</xm:f>
            <x14:dxf>
              <font>
                <color theme="0"/>
              </font>
              <fill>
                <patternFill>
                  <bgColor theme="0"/>
                </patternFill>
              </fill>
              <border>
                <vertical/>
                <horizontal/>
              </border>
            </x14:dxf>
          </x14:cfRule>
          <xm:sqref>V38:V61</xm:sqref>
        </x14:conditionalFormatting>
        <x14:conditionalFormatting xmlns:xm="http://schemas.microsoft.com/office/excel/2006/main">
          <x14:cfRule type="expression" priority="743" id="{88D20FA6-DEF5-489A-861F-47DA95BA509C}">
            <xm:f>$R$8='Assessment Details'!$Q$23</xm:f>
            <x14:dxf>
              <border>
                <left style="thin">
                  <color theme="0"/>
                </left>
                <right style="thin">
                  <color theme="0"/>
                </right>
                <top style="thin">
                  <color theme="0"/>
                </top>
                <bottom style="thin">
                  <color theme="0"/>
                </bottom>
                <vertical/>
                <horizontal/>
              </border>
            </x14:dxf>
          </x14:cfRule>
          <xm:sqref>V38:V61</xm:sqref>
        </x14:conditionalFormatting>
        <x14:conditionalFormatting xmlns:xm="http://schemas.microsoft.com/office/excel/2006/main">
          <x14:cfRule type="expression" priority="776" id="{C66728D3-1D28-4219-89FD-72DCBD8DE62E}">
            <xm:f>$Y$8='Assessment Details'!$Q$23</xm:f>
            <x14:dxf>
              <font>
                <color theme="0"/>
              </font>
              <fill>
                <patternFill>
                  <bgColor theme="0"/>
                </patternFill>
              </fill>
            </x14:dxf>
          </x14:cfRule>
          <xm:sqref>T38:Y61</xm:sqref>
        </x14:conditionalFormatting>
        <x14:conditionalFormatting xmlns:xm="http://schemas.microsoft.com/office/excel/2006/main">
          <x14:cfRule type="expression" priority="777" id="{57837F53-3A9F-4F0C-854D-8A4F5A398BCE}">
            <xm:f>$Y$8='Assessment Details'!$Q$23</xm:f>
            <x14:dxf>
              <border>
                <left style="thin">
                  <color theme="0"/>
                </left>
                <right style="thin">
                  <color theme="0"/>
                </right>
                <top style="thin">
                  <color theme="0"/>
                </top>
                <bottom style="thin">
                  <color theme="0"/>
                </bottom>
                <vertical/>
                <horizontal/>
              </border>
            </x14:dxf>
          </x14:cfRule>
          <xm:sqref>T38:Y61</xm:sqref>
        </x14:conditionalFormatting>
        <x14:conditionalFormatting xmlns:xm="http://schemas.microsoft.com/office/excel/2006/main">
          <x14:cfRule type="expression" priority="727" id="{4FCADA7D-A197-4415-9BA2-3504C54CD72D}">
            <xm:f>$R$8='Assessment Details'!$Q$23</xm:f>
            <x14:dxf>
              <font>
                <color theme="0"/>
              </font>
              <fill>
                <patternFill>
                  <bgColor theme="0"/>
                </patternFill>
              </fill>
              <border>
                <vertical/>
                <horizontal/>
              </border>
            </x14:dxf>
          </x14:cfRule>
          <xm:sqref>M65:R69</xm:sqref>
        </x14:conditionalFormatting>
        <x14:conditionalFormatting xmlns:xm="http://schemas.microsoft.com/office/excel/2006/main">
          <x14:cfRule type="expression" priority="726" id="{FB2B46D0-D2BC-403B-922F-12790164563A}">
            <xm:f>$R$8='Assessment Details'!$Q$23</xm:f>
            <x14:dxf>
              <border>
                <left style="thin">
                  <color theme="0"/>
                </left>
                <right style="thin">
                  <color theme="0"/>
                </right>
                <top style="thin">
                  <color theme="0"/>
                </top>
                <bottom style="thin">
                  <color theme="0"/>
                </bottom>
                <vertical/>
                <horizontal/>
              </border>
            </x14:dxf>
          </x14:cfRule>
          <xm:sqref>M65:R69</xm:sqref>
        </x14:conditionalFormatting>
        <x14:conditionalFormatting xmlns:xm="http://schemas.microsoft.com/office/excel/2006/main">
          <x14:cfRule type="expression" priority="725" id="{E2A84904-571E-4F8D-95B1-9B870836F8EA}">
            <xm:f>$R$8='Assessment Details'!$Q$23</xm:f>
            <x14:dxf>
              <font>
                <color theme="0"/>
              </font>
              <fill>
                <patternFill>
                  <bgColor theme="0"/>
                </patternFill>
              </fill>
              <border>
                <vertical/>
                <horizontal/>
              </border>
            </x14:dxf>
          </x14:cfRule>
          <xm:sqref>F65:F69</xm:sqref>
        </x14:conditionalFormatting>
        <x14:conditionalFormatting xmlns:xm="http://schemas.microsoft.com/office/excel/2006/main">
          <x14:cfRule type="expression" priority="724" id="{EA486EF2-13DC-46B1-BF5A-E0AB6C967967}">
            <xm:f>$R$8='Assessment Details'!$Q$23</xm:f>
            <x14:dxf>
              <border>
                <left style="thin">
                  <color theme="0"/>
                </left>
                <right style="thin">
                  <color theme="0"/>
                </right>
                <top style="thin">
                  <color theme="0"/>
                </top>
                <bottom style="thin">
                  <color theme="0"/>
                </bottom>
                <vertical/>
                <horizontal/>
              </border>
            </x14:dxf>
          </x14:cfRule>
          <xm:sqref>F65:F69</xm:sqref>
        </x14:conditionalFormatting>
        <x14:conditionalFormatting xmlns:xm="http://schemas.microsoft.com/office/excel/2006/main">
          <x14:cfRule type="expression" priority="723" id="{15950DC4-CC84-44B1-AC60-7AF91F1FDD6F}">
            <xm:f>$R$8='Assessment Details'!$Q$23</xm:f>
            <x14:dxf>
              <font>
                <color theme="0"/>
              </font>
              <fill>
                <patternFill>
                  <bgColor theme="0"/>
                </patternFill>
              </fill>
              <border>
                <vertical/>
                <horizontal/>
              </border>
            </x14:dxf>
          </x14:cfRule>
          <xm:sqref>T65:T69</xm:sqref>
        </x14:conditionalFormatting>
        <x14:conditionalFormatting xmlns:xm="http://schemas.microsoft.com/office/excel/2006/main">
          <x14:cfRule type="expression" priority="722" id="{B667FFB4-5A4F-4B9A-90AD-6C8824424B54}">
            <xm:f>$R$8='Assessment Details'!$Q$23</xm:f>
            <x14:dxf>
              <border>
                <left style="thin">
                  <color theme="0"/>
                </left>
                <right style="thin">
                  <color theme="0"/>
                </right>
                <top style="thin">
                  <color theme="0"/>
                </top>
                <bottom style="thin">
                  <color theme="0"/>
                </bottom>
                <vertical/>
                <horizontal/>
              </border>
            </x14:dxf>
          </x14:cfRule>
          <xm:sqref>T65:T69</xm:sqref>
        </x14:conditionalFormatting>
        <x14:conditionalFormatting xmlns:xm="http://schemas.microsoft.com/office/excel/2006/main">
          <x14:cfRule type="expression" priority="717" id="{62E45316-1115-49E1-B404-4F808D4A7630}">
            <xm:f>$R$8='Assessment Details'!$Q$23</xm:f>
            <x14:dxf>
              <font>
                <color theme="0"/>
              </font>
              <fill>
                <patternFill>
                  <bgColor theme="0"/>
                </patternFill>
              </fill>
              <border>
                <vertical/>
                <horizontal/>
              </border>
            </x14:dxf>
          </x14:cfRule>
          <xm:sqref>M65:M69</xm:sqref>
        </x14:conditionalFormatting>
        <x14:conditionalFormatting xmlns:xm="http://schemas.microsoft.com/office/excel/2006/main">
          <x14:cfRule type="expression" priority="716" id="{EE69091F-85CF-4D4C-87ED-CA760913C1BA}">
            <xm:f>$R$8='Assessment Details'!$Q$23</xm:f>
            <x14:dxf>
              <border>
                <left style="thin">
                  <color theme="0"/>
                </left>
                <right style="thin">
                  <color theme="0"/>
                </right>
                <top style="thin">
                  <color theme="0"/>
                </top>
                <bottom style="thin">
                  <color theme="0"/>
                </bottom>
                <vertical/>
                <horizontal/>
              </border>
            </x14:dxf>
          </x14:cfRule>
          <xm:sqref>M65:M69</xm:sqref>
        </x14:conditionalFormatting>
        <x14:conditionalFormatting xmlns:xm="http://schemas.microsoft.com/office/excel/2006/main">
          <x14:cfRule type="expression" priority="711" id="{23C69510-D6C1-47E6-A291-45444BED47B6}">
            <xm:f>$R$8='Assessment Details'!$Q$23</xm:f>
            <x14:dxf>
              <font>
                <color theme="0"/>
              </font>
              <fill>
                <patternFill>
                  <bgColor theme="0"/>
                </patternFill>
              </fill>
              <border>
                <vertical/>
                <horizontal/>
              </border>
            </x14:dxf>
          </x14:cfRule>
          <xm:sqref>T65:T69</xm:sqref>
        </x14:conditionalFormatting>
        <x14:conditionalFormatting xmlns:xm="http://schemas.microsoft.com/office/excel/2006/main">
          <x14:cfRule type="expression" priority="710" id="{0C34D3B8-4096-4716-9C2A-64A7B6470AFB}">
            <xm:f>$R$8='Assessment Details'!$Q$23</xm:f>
            <x14:dxf>
              <border>
                <left style="thin">
                  <color theme="0"/>
                </left>
                <right style="thin">
                  <color theme="0"/>
                </right>
                <top style="thin">
                  <color theme="0"/>
                </top>
                <bottom style="thin">
                  <color theme="0"/>
                </bottom>
                <vertical/>
                <horizontal/>
              </border>
            </x14:dxf>
          </x14:cfRule>
          <xm:sqref>T65:T69</xm:sqref>
        </x14:conditionalFormatting>
        <x14:conditionalFormatting xmlns:xm="http://schemas.microsoft.com/office/excel/2006/main">
          <x14:cfRule type="expression" priority="709" id="{91C3642B-20F9-48C8-BBCE-E25B520CAF1E}">
            <xm:f>$R$8='Assessment Details'!$Q$23</xm:f>
            <x14:dxf>
              <font>
                <color theme="0"/>
              </font>
              <fill>
                <patternFill>
                  <bgColor theme="0"/>
                </patternFill>
              </fill>
              <border>
                <vertical/>
                <horizontal/>
              </border>
            </x14:dxf>
          </x14:cfRule>
          <xm:sqref>V65:V69</xm:sqref>
        </x14:conditionalFormatting>
        <x14:conditionalFormatting xmlns:xm="http://schemas.microsoft.com/office/excel/2006/main">
          <x14:cfRule type="expression" priority="708" id="{07FA1C11-BD85-4132-BD42-DA6D5718C888}">
            <xm:f>$R$8='Assessment Details'!$Q$23</xm:f>
            <x14:dxf>
              <border>
                <left style="thin">
                  <color theme="0"/>
                </left>
                <right style="thin">
                  <color theme="0"/>
                </right>
                <top style="thin">
                  <color theme="0"/>
                </top>
                <bottom style="thin">
                  <color theme="0"/>
                </bottom>
                <vertical/>
                <horizontal/>
              </border>
            </x14:dxf>
          </x14:cfRule>
          <xm:sqref>V65:V69</xm:sqref>
        </x14:conditionalFormatting>
        <x14:conditionalFormatting xmlns:xm="http://schemas.microsoft.com/office/excel/2006/main">
          <x14:cfRule type="expression" priority="741" id="{C3B53F49-D624-4668-A88D-CC265C4732FF}">
            <xm:f>$Y$8='Assessment Details'!$Q$23</xm:f>
            <x14:dxf>
              <font>
                <color theme="0"/>
              </font>
              <fill>
                <patternFill>
                  <bgColor theme="0"/>
                </patternFill>
              </fill>
            </x14:dxf>
          </x14:cfRule>
          <xm:sqref>T65:Y69</xm:sqref>
        </x14:conditionalFormatting>
        <x14:conditionalFormatting xmlns:xm="http://schemas.microsoft.com/office/excel/2006/main">
          <x14:cfRule type="expression" priority="742" id="{DB88EE05-05EF-43A8-9AA0-6A823E6BC540}">
            <xm:f>$Y$8='Assessment Details'!$Q$23</xm:f>
            <x14:dxf>
              <border>
                <left style="thin">
                  <color theme="0"/>
                </left>
                <right style="thin">
                  <color theme="0"/>
                </right>
                <top style="thin">
                  <color theme="0"/>
                </top>
                <bottom style="thin">
                  <color theme="0"/>
                </bottom>
                <vertical/>
                <horizontal/>
              </border>
            </x14:dxf>
          </x14:cfRule>
          <xm:sqref>T65:Y69</xm:sqref>
        </x14:conditionalFormatting>
        <x14:conditionalFormatting xmlns:xm="http://schemas.microsoft.com/office/excel/2006/main">
          <x14:cfRule type="expression" priority="692" id="{1BD591E1-08F2-4CEF-981B-4CB9B55473D0}">
            <xm:f>$R$8='Assessment Details'!$Q$23</xm:f>
            <x14:dxf>
              <font>
                <color theme="0"/>
              </font>
              <fill>
                <patternFill>
                  <bgColor theme="0"/>
                </patternFill>
              </fill>
              <border>
                <vertical/>
                <horizontal/>
              </border>
            </x14:dxf>
          </x14:cfRule>
          <xm:sqref>M94:R99</xm:sqref>
        </x14:conditionalFormatting>
        <x14:conditionalFormatting xmlns:xm="http://schemas.microsoft.com/office/excel/2006/main">
          <x14:cfRule type="expression" priority="691" id="{9F776836-5CD3-462B-9032-6508E16C50BC}">
            <xm:f>$R$8='Assessment Details'!$Q$23</xm:f>
            <x14:dxf>
              <border>
                <left style="thin">
                  <color theme="0"/>
                </left>
                <right style="thin">
                  <color theme="0"/>
                </right>
                <top style="thin">
                  <color theme="0"/>
                </top>
                <bottom style="thin">
                  <color theme="0"/>
                </bottom>
                <vertical/>
                <horizontal/>
              </border>
            </x14:dxf>
          </x14:cfRule>
          <xm:sqref>M94:R99</xm:sqref>
        </x14:conditionalFormatting>
        <x14:conditionalFormatting xmlns:xm="http://schemas.microsoft.com/office/excel/2006/main">
          <x14:cfRule type="expression" priority="690" id="{E06107F4-0797-42C3-AF12-3E69A082790E}">
            <xm:f>$R$8='Assessment Details'!$Q$23</xm:f>
            <x14:dxf>
              <font>
                <color theme="0"/>
              </font>
              <fill>
                <patternFill>
                  <bgColor theme="0"/>
                </patternFill>
              </fill>
              <border>
                <vertical/>
                <horizontal/>
              </border>
            </x14:dxf>
          </x14:cfRule>
          <xm:sqref>F94:F99</xm:sqref>
        </x14:conditionalFormatting>
        <x14:conditionalFormatting xmlns:xm="http://schemas.microsoft.com/office/excel/2006/main">
          <x14:cfRule type="expression" priority="689" id="{00C83373-3E86-4A05-A623-37C5B664E25B}">
            <xm:f>$R$8='Assessment Details'!$Q$23</xm:f>
            <x14:dxf>
              <border>
                <left style="thin">
                  <color theme="0"/>
                </left>
                <right style="thin">
                  <color theme="0"/>
                </right>
                <top style="thin">
                  <color theme="0"/>
                </top>
                <bottom style="thin">
                  <color theme="0"/>
                </bottom>
                <vertical/>
                <horizontal/>
              </border>
            </x14:dxf>
          </x14:cfRule>
          <xm:sqref>F94:F99</xm:sqref>
        </x14:conditionalFormatting>
        <x14:conditionalFormatting xmlns:xm="http://schemas.microsoft.com/office/excel/2006/main">
          <x14:cfRule type="expression" priority="688" id="{5961EE5E-4BD1-4B3C-9C32-851077EA884D}">
            <xm:f>$R$8='Assessment Details'!$Q$23</xm:f>
            <x14:dxf>
              <font>
                <color theme="0"/>
              </font>
              <fill>
                <patternFill>
                  <bgColor theme="0"/>
                </patternFill>
              </fill>
              <border>
                <vertical/>
                <horizontal/>
              </border>
            </x14:dxf>
          </x14:cfRule>
          <xm:sqref>T94:T99</xm:sqref>
        </x14:conditionalFormatting>
        <x14:conditionalFormatting xmlns:xm="http://schemas.microsoft.com/office/excel/2006/main">
          <x14:cfRule type="expression" priority="687" id="{333D927D-615B-45D6-87AC-469DC68A1A11}">
            <xm:f>$R$8='Assessment Details'!$Q$23</xm:f>
            <x14:dxf>
              <border>
                <left style="thin">
                  <color theme="0"/>
                </left>
                <right style="thin">
                  <color theme="0"/>
                </right>
                <top style="thin">
                  <color theme="0"/>
                </top>
                <bottom style="thin">
                  <color theme="0"/>
                </bottom>
                <vertical/>
                <horizontal/>
              </border>
            </x14:dxf>
          </x14:cfRule>
          <xm:sqref>T94:T99</xm:sqref>
        </x14:conditionalFormatting>
        <x14:conditionalFormatting xmlns:xm="http://schemas.microsoft.com/office/excel/2006/main">
          <x14:cfRule type="expression" priority="682" id="{E6B6E013-951B-4DFA-97E6-BCEE0A6E2E5A}">
            <xm:f>$R$8='Assessment Details'!$Q$23</xm:f>
            <x14:dxf>
              <font>
                <color theme="0"/>
              </font>
              <fill>
                <patternFill>
                  <bgColor theme="0"/>
                </patternFill>
              </fill>
              <border>
                <vertical/>
                <horizontal/>
              </border>
            </x14:dxf>
          </x14:cfRule>
          <xm:sqref>M94:M99</xm:sqref>
        </x14:conditionalFormatting>
        <x14:conditionalFormatting xmlns:xm="http://schemas.microsoft.com/office/excel/2006/main">
          <x14:cfRule type="expression" priority="681" id="{DB63DD7B-A191-4D5E-A766-8ED092A8AD25}">
            <xm:f>$R$8='Assessment Details'!$Q$23</xm:f>
            <x14:dxf>
              <border>
                <left style="thin">
                  <color theme="0"/>
                </left>
                <right style="thin">
                  <color theme="0"/>
                </right>
                <top style="thin">
                  <color theme="0"/>
                </top>
                <bottom style="thin">
                  <color theme="0"/>
                </bottom>
                <vertical/>
                <horizontal/>
              </border>
            </x14:dxf>
          </x14:cfRule>
          <xm:sqref>M94:M99</xm:sqref>
        </x14:conditionalFormatting>
        <x14:conditionalFormatting xmlns:xm="http://schemas.microsoft.com/office/excel/2006/main">
          <x14:cfRule type="expression" priority="676" id="{F7F980A3-F13E-48B5-8235-DF2D2320CBA3}">
            <xm:f>$R$8='Assessment Details'!$Q$23</xm:f>
            <x14:dxf>
              <font>
                <color theme="0"/>
              </font>
              <fill>
                <patternFill>
                  <bgColor theme="0"/>
                </patternFill>
              </fill>
              <border>
                <vertical/>
                <horizontal/>
              </border>
            </x14:dxf>
          </x14:cfRule>
          <xm:sqref>T94:T99</xm:sqref>
        </x14:conditionalFormatting>
        <x14:conditionalFormatting xmlns:xm="http://schemas.microsoft.com/office/excel/2006/main">
          <x14:cfRule type="expression" priority="675" id="{EDE00C90-27FD-4C1B-8983-B51F2271A337}">
            <xm:f>$R$8='Assessment Details'!$Q$23</xm:f>
            <x14:dxf>
              <border>
                <left style="thin">
                  <color theme="0"/>
                </left>
                <right style="thin">
                  <color theme="0"/>
                </right>
                <top style="thin">
                  <color theme="0"/>
                </top>
                <bottom style="thin">
                  <color theme="0"/>
                </bottom>
                <vertical/>
                <horizontal/>
              </border>
            </x14:dxf>
          </x14:cfRule>
          <xm:sqref>T94:T99</xm:sqref>
        </x14:conditionalFormatting>
        <x14:conditionalFormatting xmlns:xm="http://schemas.microsoft.com/office/excel/2006/main">
          <x14:cfRule type="expression" priority="674" id="{45013F25-A8CD-4875-A8F3-EDB96D31D8DB}">
            <xm:f>$R$8='Assessment Details'!$Q$23</xm:f>
            <x14:dxf>
              <font>
                <color theme="0"/>
              </font>
              <fill>
                <patternFill>
                  <bgColor theme="0"/>
                </patternFill>
              </fill>
              <border>
                <vertical/>
                <horizontal/>
              </border>
            </x14:dxf>
          </x14:cfRule>
          <xm:sqref>V94:V99</xm:sqref>
        </x14:conditionalFormatting>
        <x14:conditionalFormatting xmlns:xm="http://schemas.microsoft.com/office/excel/2006/main">
          <x14:cfRule type="expression" priority="673" id="{38486A5C-B729-4422-8536-52FE6D7F340B}">
            <xm:f>$R$8='Assessment Details'!$Q$23</xm:f>
            <x14:dxf>
              <border>
                <left style="thin">
                  <color theme="0"/>
                </left>
                <right style="thin">
                  <color theme="0"/>
                </right>
                <top style="thin">
                  <color theme="0"/>
                </top>
                <bottom style="thin">
                  <color theme="0"/>
                </bottom>
                <vertical/>
                <horizontal/>
              </border>
            </x14:dxf>
          </x14:cfRule>
          <xm:sqref>V94:V99</xm:sqref>
        </x14:conditionalFormatting>
        <x14:conditionalFormatting xmlns:xm="http://schemas.microsoft.com/office/excel/2006/main">
          <x14:cfRule type="expression" priority="706" id="{523FC504-EDF4-4B28-90CA-F81484708F8D}">
            <xm:f>$Y$8='Assessment Details'!$Q$23</xm:f>
            <x14:dxf>
              <font>
                <color theme="0"/>
              </font>
              <fill>
                <patternFill>
                  <bgColor theme="0"/>
                </patternFill>
              </fill>
            </x14:dxf>
          </x14:cfRule>
          <xm:sqref>T94:Y99</xm:sqref>
        </x14:conditionalFormatting>
        <x14:conditionalFormatting xmlns:xm="http://schemas.microsoft.com/office/excel/2006/main">
          <x14:cfRule type="expression" priority="707" id="{95A0CC1A-0E54-40AC-818C-C97BF29A60BC}">
            <xm:f>$Y$8='Assessment Details'!$Q$23</xm:f>
            <x14:dxf>
              <border>
                <left style="thin">
                  <color theme="0"/>
                </left>
                <right style="thin">
                  <color theme="0"/>
                </right>
                <top style="thin">
                  <color theme="0"/>
                </top>
                <bottom style="thin">
                  <color theme="0"/>
                </bottom>
                <vertical/>
                <horizontal/>
              </border>
            </x14:dxf>
          </x14:cfRule>
          <xm:sqref>T94:Y99</xm:sqref>
        </x14:conditionalFormatting>
        <x14:conditionalFormatting xmlns:xm="http://schemas.microsoft.com/office/excel/2006/main">
          <x14:cfRule type="expression" priority="657" id="{7DE336E1-E5D4-401E-B8D4-7A63000DEAC3}">
            <xm:f>$R$8='Assessment Details'!$Q$23</xm:f>
            <x14:dxf>
              <font>
                <color theme="0"/>
              </font>
              <fill>
                <patternFill>
                  <bgColor theme="0"/>
                </patternFill>
              </fill>
              <border>
                <vertical/>
                <horizontal/>
              </border>
            </x14:dxf>
          </x14:cfRule>
          <xm:sqref>M103:R113</xm:sqref>
        </x14:conditionalFormatting>
        <x14:conditionalFormatting xmlns:xm="http://schemas.microsoft.com/office/excel/2006/main">
          <x14:cfRule type="expression" priority="656" id="{49DA29B4-1630-47B1-A291-04E2B0538837}">
            <xm:f>$R$8='Assessment Details'!$Q$23</xm:f>
            <x14:dxf>
              <border>
                <left style="thin">
                  <color theme="0"/>
                </left>
                <right style="thin">
                  <color theme="0"/>
                </right>
                <top style="thin">
                  <color theme="0"/>
                </top>
                <bottom style="thin">
                  <color theme="0"/>
                </bottom>
                <vertical/>
                <horizontal/>
              </border>
            </x14:dxf>
          </x14:cfRule>
          <xm:sqref>M103:R113</xm:sqref>
        </x14:conditionalFormatting>
        <x14:conditionalFormatting xmlns:xm="http://schemas.microsoft.com/office/excel/2006/main">
          <x14:cfRule type="expression" priority="655" id="{BA618F41-E642-4287-8CC1-4B1B638FEB3B}">
            <xm:f>$R$8='Assessment Details'!$Q$23</xm:f>
            <x14:dxf>
              <font>
                <color theme="0"/>
              </font>
              <fill>
                <patternFill>
                  <bgColor theme="0"/>
                </patternFill>
              </fill>
              <border>
                <vertical/>
                <horizontal/>
              </border>
            </x14:dxf>
          </x14:cfRule>
          <xm:sqref>F103:F113</xm:sqref>
        </x14:conditionalFormatting>
        <x14:conditionalFormatting xmlns:xm="http://schemas.microsoft.com/office/excel/2006/main">
          <x14:cfRule type="expression" priority="654" id="{DF510D98-611C-4B4E-AD84-C8B3C1C3E16A}">
            <xm:f>$R$8='Assessment Details'!$Q$23</xm:f>
            <x14:dxf>
              <border>
                <left style="thin">
                  <color theme="0"/>
                </left>
                <right style="thin">
                  <color theme="0"/>
                </right>
                <top style="thin">
                  <color theme="0"/>
                </top>
                <bottom style="thin">
                  <color theme="0"/>
                </bottom>
                <vertical/>
                <horizontal/>
              </border>
            </x14:dxf>
          </x14:cfRule>
          <xm:sqref>F103:F113</xm:sqref>
        </x14:conditionalFormatting>
        <x14:conditionalFormatting xmlns:xm="http://schemas.microsoft.com/office/excel/2006/main">
          <x14:cfRule type="expression" priority="653" id="{756983B4-32DB-4712-9E4A-B0195C7F9967}">
            <xm:f>$R$8='Assessment Details'!$Q$23</xm:f>
            <x14:dxf>
              <font>
                <color theme="0"/>
              </font>
              <fill>
                <patternFill>
                  <bgColor theme="0"/>
                </patternFill>
              </fill>
              <border>
                <vertical/>
                <horizontal/>
              </border>
            </x14:dxf>
          </x14:cfRule>
          <xm:sqref>T103:T113</xm:sqref>
        </x14:conditionalFormatting>
        <x14:conditionalFormatting xmlns:xm="http://schemas.microsoft.com/office/excel/2006/main">
          <x14:cfRule type="expression" priority="652" id="{067A6CDD-7B63-4779-B8F0-E078EAC87BBB}">
            <xm:f>$R$8='Assessment Details'!$Q$23</xm:f>
            <x14:dxf>
              <border>
                <left style="thin">
                  <color theme="0"/>
                </left>
                <right style="thin">
                  <color theme="0"/>
                </right>
                <top style="thin">
                  <color theme="0"/>
                </top>
                <bottom style="thin">
                  <color theme="0"/>
                </bottom>
                <vertical/>
                <horizontal/>
              </border>
            </x14:dxf>
          </x14:cfRule>
          <xm:sqref>T103:T113</xm:sqref>
        </x14:conditionalFormatting>
        <x14:conditionalFormatting xmlns:xm="http://schemas.microsoft.com/office/excel/2006/main">
          <x14:cfRule type="expression" priority="647" id="{96519392-41EB-42E7-94C2-5B2168E527EE}">
            <xm:f>$R$8='Assessment Details'!$Q$23</xm:f>
            <x14:dxf>
              <font>
                <color theme="0"/>
              </font>
              <fill>
                <patternFill>
                  <bgColor theme="0"/>
                </patternFill>
              </fill>
              <border>
                <vertical/>
                <horizontal/>
              </border>
            </x14:dxf>
          </x14:cfRule>
          <xm:sqref>M103:M113</xm:sqref>
        </x14:conditionalFormatting>
        <x14:conditionalFormatting xmlns:xm="http://schemas.microsoft.com/office/excel/2006/main">
          <x14:cfRule type="expression" priority="646" id="{750009DF-3B7E-4232-9FC0-8318C8C849AC}">
            <xm:f>$R$8='Assessment Details'!$Q$23</xm:f>
            <x14:dxf>
              <border>
                <left style="thin">
                  <color theme="0"/>
                </left>
                <right style="thin">
                  <color theme="0"/>
                </right>
                <top style="thin">
                  <color theme="0"/>
                </top>
                <bottom style="thin">
                  <color theme="0"/>
                </bottom>
                <vertical/>
                <horizontal/>
              </border>
            </x14:dxf>
          </x14:cfRule>
          <xm:sqref>M103:M113</xm:sqref>
        </x14:conditionalFormatting>
        <x14:conditionalFormatting xmlns:xm="http://schemas.microsoft.com/office/excel/2006/main">
          <x14:cfRule type="expression" priority="641" id="{7E831641-C107-4F72-8604-4E0AEFAA2B69}">
            <xm:f>$R$8='Assessment Details'!$Q$23</xm:f>
            <x14:dxf>
              <font>
                <color theme="0"/>
              </font>
              <fill>
                <patternFill>
                  <bgColor theme="0"/>
                </patternFill>
              </fill>
              <border>
                <vertical/>
                <horizontal/>
              </border>
            </x14:dxf>
          </x14:cfRule>
          <xm:sqref>T103:T113</xm:sqref>
        </x14:conditionalFormatting>
        <x14:conditionalFormatting xmlns:xm="http://schemas.microsoft.com/office/excel/2006/main">
          <x14:cfRule type="expression" priority="640" id="{E32F43E0-B962-4DF3-A9EC-3935053A07E3}">
            <xm:f>$R$8='Assessment Details'!$Q$23</xm:f>
            <x14:dxf>
              <border>
                <left style="thin">
                  <color theme="0"/>
                </left>
                <right style="thin">
                  <color theme="0"/>
                </right>
                <top style="thin">
                  <color theme="0"/>
                </top>
                <bottom style="thin">
                  <color theme="0"/>
                </bottom>
                <vertical/>
                <horizontal/>
              </border>
            </x14:dxf>
          </x14:cfRule>
          <xm:sqref>T103:T113</xm:sqref>
        </x14:conditionalFormatting>
        <x14:conditionalFormatting xmlns:xm="http://schemas.microsoft.com/office/excel/2006/main">
          <x14:cfRule type="expression" priority="639" id="{0BB5ED4B-026F-4928-A4EE-B96D789885DA}">
            <xm:f>$R$8='Assessment Details'!$Q$23</xm:f>
            <x14:dxf>
              <font>
                <color theme="0"/>
              </font>
              <fill>
                <patternFill>
                  <bgColor theme="0"/>
                </patternFill>
              </fill>
              <border>
                <vertical/>
                <horizontal/>
              </border>
            </x14:dxf>
          </x14:cfRule>
          <xm:sqref>V103:V113</xm:sqref>
        </x14:conditionalFormatting>
        <x14:conditionalFormatting xmlns:xm="http://schemas.microsoft.com/office/excel/2006/main">
          <x14:cfRule type="expression" priority="638" id="{BC45D543-FEDC-456A-AE61-F84314511591}">
            <xm:f>$R$8='Assessment Details'!$Q$23</xm:f>
            <x14:dxf>
              <border>
                <left style="thin">
                  <color theme="0"/>
                </left>
                <right style="thin">
                  <color theme="0"/>
                </right>
                <top style="thin">
                  <color theme="0"/>
                </top>
                <bottom style="thin">
                  <color theme="0"/>
                </bottom>
                <vertical/>
                <horizontal/>
              </border>
            </x14:dxf>
          </x14:cfRule>
          <xm:sqref>V103:V113</xm:sqref>
        </x14:conditionalFormatting>
        <x14:conditionalFormatting xmlns:xm="http://schemas.microsoft.com/office/excel/2006/main">
          <x14:cfRule type="expression" priority="671" id="{B1599C0C-1824-4B77-A646-BB9489929227}">
            <xm:f>$Y$8='Assessment Details'!$Q$23</xm:f>
            <x14:dxf>
              <font>
                <color theme="0"/>
              </font>
              <fill>
                <patternFill>
                  <bgColor theme="0"/>
                </patternFill>
              </fill>
            </x14:dxf>
          </x14:cfRule>
          <xm:sqref>T103:Y113</xm:sqref>
        </x14:conditionalFormatting>
        <x14:conditionalFormatting xmlns:xm="http://schemas.microsoft.com/office/excel/2006/main">
          <x14:cfRule type="expression" priority="672" id="{7C24B3D7-69A8-472F-9AC4-971295E49E8C}">
            <xm:f>$Y$8='Assessment Details'!$Q$23</xm:f>
            <x14:dxf>
              <border>
                <left style="thin">
                  <color theme="0"/>
                </left>
                <right style="thin">
                  <color theme="0"/>
                </right>
                <top style="thin">
                  <color theme="0"/>
                </top>
                <bottom style="thin">
                  <color theme="0"/>
                </bottom>
                <vertical/>
                <horizontal/>
              </border>
            </x14:dxf>
          </x14:cfRule>
          <xm:sqref>T103:Y113</xm:sqref>
        </x14:conditionalFormatting>
        <x14:conditionalFormatting xmlns:xm="http://schemas.microsoft.com/office/excel/2006/main">
          <x14:cfRule type="expression" priority="622" id="{F63492DD-25C4-472D-9AFC-29D0F2FFCA4E}">
            <xm:f>$R$8='Assessment Details'!$Q$23</xm:f>
            <x14:dxf>
              <font>
                <color theme="0"/>
              </font>
              <fill>
                <patternFill>
                  <bgColor theme="0"/>
                </patternFill>
              </fill>
              <border>
                <vertical/>
                <horizontal/>
              </border>
            </x14:dxf>
          </x14:cfRule>
          <xm:sqref>M117:R143</xm:sqref>
        </x14:conditionalFormatting>
        <x14:conditionalFormatting xmlns:xm="http://schemas.microsoft.com/office/excel/2006/main">
          <x14:cfRule type="expression" priority="621" id="{F8AC1FE8-B5C4-4AF3-AA72-D2DCF4E1FFC1}">
            <xm:f>$R$8='Assessment Details'!$Q$23</xm:f>
            <x14:dxf>
              <border>
                <left style="thin">
                  <color theme="0"/>
                </left>
                <right style="thin">
                  <color theme="0"/>
                </right>
                <top style="thin">
                  <color theme="0"/>
                </top>
                <bottom style="thin">
                  <color theme="0"/>
                </bottom>
                <vertical/>
                <horizontal/>
              </border>
            </x14:dxf>
          </x14:cfRule>
          <xm:sqref>M117:R143</xm:sqref>
        </x14:conditionalFormatting>
        <x14:conditionalFormatting xmlns:xm="http://schemas.microsoft.com/office/excel/2006/main">
          <x14:cfRule type="expression" priority="620" id="{E38FC8F5-B00E-45A0-92B9-74494A8AC0D9}">
            <xm:f>$R$8='Assessment Details'!$Q$23</xm:f>
            <x14:dxf>
              <font>
                <color theme="0"/>
              </font>
              <fill>
                <patternFill>
                  <bgColor theme="0"/>
                </patternFill>
              </fill>
              <border>
                <vertical/>
                <horizontal/>
              </border>
            </x14:dxf>
          </x14:cfRule>
          <xm:sqref>F117:F143</xm:sqref>
        </x14:conditionalFormatting>
        <x14:conditionalFormatting xmlns:xm="http://schemas.microsoft.com/office/excel/2006/main">
          <x14:cfRule type="expression" priority="619" id="{E74AB5C6-EC80-494B-BA5B-D2200366EB60}">
            <xm:f>$R$8='Assessment Details'!$Q$23</xm:f>
            <x14:dxf>
              <border>
                <left style="thin">
                  <color theme="0"/>
                </left>
                <right style="thin">
                  <color theme="0"/>
                </right>
                <top style="thin">
                  <color theme="0"/>
                </top>
                <bottom style="thin">
                  <color theme="0"/>
                </bottom>
                <vertical/>
                <horizontal/>
              </border>
            </x14:dxf>
          </x14:cfRule>
          <xm:sqref>F117:F143</xm:sqref>
        </x14:conditionalFormatting>
        <x14:conditionalFormatting xmlns:xm="http://schemas.microsoft.com/office/excel/2006/main">
          <x14:cfRule type="expression" priority="618" id="{673DFAA5-2055-44C4-887D-2C35F93E8E42}">
            <xm:f>$R$8='Assessment Details'!$Q$23</xm:f>
            <x14:dxf>
              <font>
                <color theme="0"/>
              </font>
              <fill>
                <patternFill>
                  <bgColor theme="0"/>
                </patternFill>
              </fill>
              <border>
                <vertical/>
                <horizontal/>
              </border>
            </x14:dxf>
          </x14:cfRule>
          <xm:sqref>T117:T143</xm:sqref>
        </x14:conditionalFormatting>
        <x14:conditionalFormatting xmlns:xm="http://schemas.microsoft.com/office/excel/2006/main">
          <x14:cfRule type="expression" priority="617" id="{2FB72A45-195A-4D9B-B6A6-6A65A8CBEFBF}">
            <xm:f>$R$8='Assessment Details'!$Q$23</xm:f>
            <x14:dxf>
              <border>
                <left style="thin">
                  <color theme="0"/>
                </left>
                <right style="thin">
                  <color theme="0"/>
                </right>
                <top style="thin">
                  <color theme="0"/>
                </top>
                <bottom style="thin">
                  <color theme="0"/>
                </bottom>
                <vertical/>
                <horizontal/>
              </border>
            </x14:dxf>
          </x14:cfRule>
          <xm:sqref>T117:T143</xm:sqref>
        </x14:conditionalFormatting>
        <x14:conditionalFormatting xmlns:xm="http://schemas.microsoft.com/office/excel/2006/main">
          <x14:cfRule type="expression" priority="612" id="{F4CB3BC1-BF42-4E13-88F7-6746AE0C85AB}">
            <xm:f>$R$8='Assessment Details'!$Q$23</xm:f>
            <x14:dxf>
              <font>
                <color theme="0"/>
              </font>
              <fill>
                <patternFill>
                  <bgColor theme="0"/>
                </patternFill>
              </fill>
              <border>
                <vertical/>
                <horizontal/>
              </border>
            </x14:dxf>
          </x14:cfRule>
          <xm:sqref>M117:M143</xm:sqref>
        </x14:conditionalFormatting>
        <x14:conditionalFormatting xmlns:xm="http://schemas.microsoft.com/office/excel/2006/main">
          <x14:cfRule type="expression" priority="611" id="{F6844507-E947-4893-B9ED-E004BF7954D4}">
            <xm:f>$R$8='Assessment Details'!$Q$23</xm:f>
            <x14:dxf>
              <border>
                <left style="thin">
                  <color theme="0"/>
                </left>
                <right style="thin">
                  <color theme="0"/>
                </right>
                <top style="thin">
                  <color theme="0"/>
                </top>
                <bottom style="thin">
                  <color theme="0"/>
                </bottom>
                <vertical/>
                <horizontal/>
              </border>
            </x14:dxf>
          </x14:cfRule>
          <xm:sqref>M117:M143</xm:sqref>
        </x14:conditionalFormatting>
        <x14:conditionalFormatting xmlns:xm="http://schemas.microsoft.com/office/excel/2006/main">
          <x14:cfRule type="expression" priority="606" id="{F302A555-2F25-42D5-8AAA-616DCC026794}">
            <xm:f>$R$8='Assessment Details'!$Q$23</xm:f>
            <x14:dxf>
              <font>
                <color theme="0"/>
              </font>
              <fill>
                <patternFill>
                  <bgColor theme="0"/>
                </patternFill>
              </fill>
              <border>
                <vertical/>
                <horizontal/>
              </border>
            </x14:dxf>
          </x14:cfRule>
          <xm:sqref>T117:T143</xm:sqref>
        </x14:conditionalFormatting>
        <x14:conditionalFormatting xmlns:xm="http://schemas.microsoft.com/office/excel/2006/main">
          <x14:cfRule type="expression" priority="605" id="{AD450B60-6008-4136-BDB5-B79109E9289D}">
            <xm:f>$R$8='Assessment Details'!$Q$23</xm:f>
            <x14:dxf>
              <border>
                <left style="thin">
                  <color theme="0"/>
                </left>
                <right style="thin">
                  <color theme="0"/>
                </right>
                <top style="thin">
                  <color theme="0"/>
                </top>
                <bottom style="thin">
                  <color theme="0"/>
                </bottom>
                <vertical/>
                <horizontal/>
              </border>
            </x14:dxf>
          </x14:cfRule>
          <xm:sqref>T117:T143</xm:sqref>
        </x14:conditionalFormatting>
        <x14:conditionalFormatting xmlns:xm="http://schemas.microsoft.com/office/excel/2006/main">
          <x14:cfRule type="expression" priority="604" id="{DE80F036-12CD-4EF6-ABDA-A72B56533A28}">
            <xm:f>$R$8='Assessment Details'!$Q$23</xm:f>
            <x14:dxf>
              <font>
                <color theme="0"/>
              </font>
              <fill>
                <patternFill>
                  <bgColor theme="0"/>
                </patternFill>
              </fill>
              <border>
                <vertical/>
                <horizontal/>
              </border>
            </x14:dxf>
          </x14:cfRule>
          <xm:sqref>V117:V143</xm:sqref>
        </x14:conditionalFormatting>
        <x14:conditionalFormatting xmlns:xm="http://schemas.microsoft.com/office/excel/2006/main">
          <x14:cfRule type="expression" priority="603" id="{ED2AA8D5-C35E-4825-A8B3-98F9B47AE8A5}">
            <xm:f>$R$8='Assessment Details'!$Q$23</xm:f>
            <x14:dxf>
              <border>
                <left style="thin">
                  <color theme="0"/>
                </left>
                <right style="thin">
                  <color theme="0"/>
                </right>
                <top style="thin">
                  <color theme="0"/>
                </top>
                <bottom style="thin">
                  <color theme="0"/>
                </bottom>
                <vertical/>
                <horizontal/>
              </border>
            </x14:dxf>
          </x14:cfRule>
          <xm:sqref>V117:V143</xm:sqref>
        </x14:conditionalFormatting>
        <x14:conditionalFormatting xmlns:xm="http://schemas.microsoft.com/office/excel/2006/main">
          <x14:cfRule type="expression" priority="636" id="{8F9F20A1-7D00-404C-BE1C-DEE2255F6C84}">
            <xm:f>$Y$8='Assessment Details'!$Q$23</xm:f>
            <x14:dxf>
              <font>
                <color theme="0"/>
              </font>
              <fill>
                <patternFill>
                  <bgColor theme="0"/>
                </patternFill>
              </fill>
            </x14:dxf>
          </x14:cfRule>
          <xm:sqref>T117:Y143</xm:sqref>
        </x14:conditionalFormatting>
        <x14:conditionalFormatting xmlns:xm="http://schemas.microsoft.com/office/excel/2006/main">
          <x14:cfRule type="expression" priority="637" id="{010FD9E7-F2B6-4B14-9887-5AFA260D8F08}">
            <xm:f>$Y$8='Assessment Details'!$Q$23</xm:f>
            <x14:dxf>
              <border>
                <left style="thin">
                  <color theme="0"/>
                </left>
                <right style="thin">
                  <color theme="0"/>
                </right>
                <top style="thin">
                  <color theme="0"/>
                </top>
                <bottom style="thin">
                  <color theme="0"/>
                </bottom>
                <vertical/>
                <horizontal/>
              </border>
            </x14:dxf>
          </x14:cfRule>
          <xm:sqref>T117:Y143</xm:sqref>
        </x14:conditionalFormatting>
        <x14:conditionalFormatting xmlns:xm="http://schemas.microsoft.com/office/excel/2006/main">
          <x14:cfRule type="expression" priority="587" id="{FDD67AFC-223C-407C-B2FF-9A6AB2820552}">
            <xm:f>$R$8='Assessment Details'!$Q$23</xm:f>
            <x14:dxf>
              <font>
                <color theme="0"/>
              </font>
              <fill>
                <patternFill>
                  <bgColor theme="0"/>
                </patternFill>
              </fill>
              <border>
                <vertical/>
                <horizontal/>
              </border>
            </x14:dxf>
          </x14:cfRule>
          <xm:sqref>M147:R158</xm:sqref>
        </x14:conditionalFormatting>
        <x14:conditionalFormatting xmlns:xm="http://schemas.microsoft.com/office/excel/2006/main">
          <x14:cfRule type="expression" priority="586" id="{7D03C898-9C07-489D-957D-E4B2FB7B043C}">
            <xm:f>$R$8='Assessment Details'!$Q$23</xm:f>
            <x14:dxf>
              <border>
                <left style="thin">
                  <color theme="0"/>
                </left>
                <right style="thin">
                  <color theme="0"/>
                </right>
                <top style="thin">
                  <color theme="0"/>
                </top>
                <bottom style="thin">
                  <color theme="0"/>
                </bottom>
                <vertical/>
                <horizontal/>
              </border>
            </x14:dxf>
          </x14:cfRule>
          <xm:sqref>M147:R158</xm:sqref>
        </x14:conditionalFormatting>
        <x14:conditionalFormatting xmlns:xm="http://schemas.microsoft.com/office/excel/2006/main">
          <x14:cfRule type="expression" priority="585" id="{51B2421E-E8B3-4AB2-B386-77ECA66D1F6B}">
            <xm:f>$R$8='Assessment Details'!$Q$23</xm:f>
            <x14:dxf>
              <font>
                <color theme="0"/>
              </font>
              <fill>
                <patternFill>
                  <bgColor theme="0"/>
                </patternFill>
              </fill>
              <border>
                <vertical/>
                <horizontal/>
              </border>
            </x14:dxf>
          </x14:cfRule>
          <xm:sqref>F147:F158</xm:sqref>
        </x14:conditionalFormatting>
        <x14:conditionalFormatting xmlns:xm="http://schemas.microsoft.com/office/excel/2006/main">
          <x14:cfRule type="expression" priority="584" id="{C1457F96-481E-4D7C-89F2-3AF16BD4EA56}">
            <xm:f>$R$8='Assessment Details'!$Q$23</xm:f>
            <x14:dxf>
              <border>
                <left style="thin">
                  <color theme="0"/>
                </left>
                <right style="thin">
                  <color theme="0"/>
                </right>
                <top style="thin">
                  <color theme="0"/>
                </top>
                <bottom style="thin">
                  <color theme="0"/>
                </bottom>
                <vertical/>
                <horizontal/>
              </border>
            </x14:dxf>
          </x14:cfRule>
          <xm:sqref>F147:F158</xm:sqref>
        </x14:conditionalFormatting>
        <x14:conditionalFormatting xmlns:xm="http://schemas.microsoft.com/office/excel/2006/main">
          <x14:cfRule type="expression" priority="583" id="{049D0A9C-46E9-426F-B254-D588DDA9507D}">
            <xm:f>$R$8='Assessment Details'!$Q$23</xm:f>
            <x14:dxf>
              <font>
                <color theme="0"/>
              </font>
              <fill>
                <patternFill>
                  <bgColor theme="0"/>
                </patternFill>
              </fill>
              <border>
                <vertical/>
                <horizontal/>
              </border>
            </x14:dxf>
          </x14:cfRule>
          <xm:sqref>T147:T158</xm:sqref>
        </x14:conditionalFormatting>
        <x14:conditionalFormatting xmlns:xm="http://schemas.microsoft.com/office/excel/2006/main">
          <x14:cfRule type="expression" priority="582" id="{85444FAC-1617-4551-8CD5-240D164907C6}">
            <xm:f>$R$8='Assessment Details'!$Q$23</xm:f>
            <x14:dxf>
              <border>
                <left style="thin">
                  <color theme="0"/>
                </left>
                <right style="thin">
                  <color theme="0"/>
                </right>
                <top style="thin">
                  <color theme="0"/>
                </top>
                <bottom style="thin">
                  <color theme="0"/>
                </bottom>
                <vertical/>
                <horizontal/>
              </border>
            </x14:dxf>
          </x14:cfRule>
          <xm:sqref>T147:T158</xm:sqref>
        </x14:conditionalFormatting>
        <x14:conditionalFormatting xmlns:xm="http://schemas.microsoft.com/office/excel/2006/main">
          <x14:cfRule type="expression" priority="577" id="{EE91D37B-6967-49FC-8B21-F94042CA4016}">
            <xm:f>$R$8='Assessment Details'!$Q$23</xm:f>
            <x14:dxf>
              <font>
                <color theme="0"/>
              </font>
              <fill>
                <patternFill>
                  <bgColor theme="0"/>
                </patternFill>
              </fill>
              <border>
                <vertical/>
                <horizontal/>
              </border>
            </x14:dxf>
          </x14:cfRule>
          <xm:sqref>M147:M158</xm:sqref>
        </x14:conditionalFormatting>
        <x14:conditionalFormatting xmlns:xm="http://schemas.microsoft.com/office/excel/2006/main">
          <x14:cfRule type="expression" priority="576" id="{8621AEF3-0C3F-4972-80CC-714D754035A7}">
            <xm:f>$R$8='Assessment Details'!$Q$23</xm:f>
            <x14:dxf>
              <border>
                <left style="thin">
                  <color theme="0"/>
                </left>
                <right style="thin">
                  <color theme="0"/>
                </right>
                <top style="thin">
                  <color theme="0"/>
                </top>
                <bottom style="thin">
                  <color theme="0"/>
                </bottom>
                <vertical/>
                <horizontal/>
              </border>
            </x14:dxf>
          </x14:cfRule>
          <xm:sqref>M147:M158</xm:sqref>
        </x14:conditionalFormatting>
        <x14:conditionalFormatting xmlns:xm="http://schemas.microsoft.com/office/excel/2006/main">
          <x14:cfRule type="expression" priority="571" id="{57179EFB-88D6-432B-9A88-0120AAE43F3D}">
            <xm:f>$R$8='Assessment Details'!$Q$23</xm:f>
            <x14:dxf>
              <font>
                <color theme="0"/>
              </font>
              <fill>
                <patternFill>
                  <bgColor theme="0"/>
                </patternFill>
              </fill>
              <border>
                <vertical/>
                <horizontal/>
              </border>
            </x14:dxf>
          </x14:cfRule>
          <xm:sqref>T147:T158</xm:sqref>
        </x14:conditionalFormatting>
        <x14:conditionalFormatting xmlns:xm="http://schemas.microsoft.com/office/excel/2006/main">
          <x14:cfRule type="expression" priority="570" id="{582D4AC3-A38D-4C64-A0CE-58695167D3BF}">
            <xm:f>$R$8='Assessment Details'!$Q$23</xm:f>
            <x14:dxf>
              <border>
                <left style="thin">
                  <color theme="0"/>
                </left>
                <right style="thin">
                  <color theme="0"/>
                </right>
                <top style="thin">
                  <color theme="0"/>
                </top>
                <bottom style="thin">
                  <color theme="0"/>
                </bottom>
                <vertical/>
                <horizontal/>
              </border>
            </x14:dxf>
          </x14:cfRule>
          <xm:sqref>T147:T158</xm:sqref>
        </x14:conditionalFormatting>
        <x14:conditionalFormatting xmlns:xm="http://schemas.microsoft.com/office/excel/2006/main">
          <x14:cfRule type="expression" priority="569" id="{3B203074-BC8A-49D8-B297-3E5E60AE11C7}">
            <xm:f>$R$8='Assessment Details'!$Q$23</xm:f>
            <x14:dxf>
              <font>
                <color theme="0"/>
              </font>
              <fill>
                <patternFill>
                  <bgColor theme="0"/>
                </patternFill>
              </fill>
              <border>
                <vertical/>
                <horizontal/>
              </border>
            </x14:dxf>
          </x14:cfRule>
          <xm:sqref>V147:V158</xm:sqref>
        </x14:conditionalFormatting>
        <x14:conditionalFormatting xmlns:xm="http://schemas.microsoft.com/office/excel/2006/main">
          <x14:cfRule type="expression" priority="568" id="{48AC37E6-979F-4F26-95D4-F2D58AB05DE7}">
            <xm:f>$R$8='Assessment Details'!$Q$23</xm:f>
            <x14:dxf>
              <border>
                <left style="thin">
                  <color theme="0"/>
                </left>
                <right style="thin">
                  <color theme="0"/>
                </right>
                <top style="thin">
                  <color theme="0"/>
                </top>
                <bottom style="thin">
                  <color theme="0"/>
                </bottom>
                <vertical/>
                <horizontal/>
              </border>
            </x14:dxf>
          </x14:cfRule>
          <xm:sqref>V147:V158</xm:sqref>
        </x14:conditionalFormatting>
        <x14:conditionalFormatting xmlns:xm="http://schemas.microsoft.com/office/excel/2006/main">
          <x14:cfRule type="expression" priority="601" id="{89AC23ED-6015-47FA-BEAF-9A6AA375A18E}">
            <xm:f>$Y$8='Assessment Details'!$Q$23</xm:f>
            <x14:dxf>
              <font>
                <color theme="0"/>
              </font>
              <fill>
                <patternFill>
                  <bgColor theme="0"/>
                </patternFill>
              </fill>
            </x14:dxf>
          </x14:cfRule>
          <xm:sqref>T147:Y158</xm:sqref>
        </x14:conditionalFormatting>
        <x14:conditionalFormatting xmlns:xm="http://schemas.microsoft.com/office/excel/2006/main">
          <x14:cfRule type="expression" priority="602" id="{8E8536A4-6749-44D2-BCBD-7D39EE4A4881}">
            <xm:f>$Y$8='Assessment Details'!$Q$23</xm:f>
            <x14:dxf>
              <border>
                <left style="thin">
                  <color theme="0"/>
                </left>
                <right style="thin">
                  <color theme="0"/>
                </right>
                <top style="thin">
                  <color theme="0"/>
                </top>
                <bottom style="thin">
                  <color theme="0"/>
                </bottom>
                <vertical/>
                <horizontal/>
              </border>
            </x14:dxf>
          </x14:cfRule>
          <xm:sqref>T147:Y158</xm:sqref>
        </x14:conditionalFormatting>
        <x14:conditionalFormatting xmlns:xm="http://schemas.microsoft.com/office/excel/2006/main">
          <x14:cfRule type="expression" priority="552" id="{D4D19939-03E7-461D-8DC4-FE096D9DFFFD}">
            <xm:f>$R$8='Assessment Details'!$Q$23</xm:f>
            <x14:dxf>
              <font>
                <color theme="0"/>
              </font>
              <fill>
                <patternFill>
                  <bgColor theme="0"/>
                </patternFill>
              </fill>
              <border>
                <vertical/>
                <horizontal/>
              </border>
            </x14:dxf>
          </x14:cfRule>
          <xm:sqref>M162:R189</xm:sqref>
        </x14:conditionalFormatting>
        <x14:conditionalFormatting xmlns:xm="http://schemas.microsoft.com/office/excel/2006/main">
          <x14:cfRule type="expression" priority="551" id="{BE550D97-26B7-410F-A7F0-AF419623F590}">
            <xm:f>$R$8='Assessment Details'!$Q$23</xm:f>
            <x14:dxf>
              <border>
                <left style="thin">
                  <color theme="0"/>
                </left>
                <right style="thin">
                  <color theme="0"/>
                </right>
                <top style="thin">
                  <color theme="0"/>
                </top>
                <bottom style="thin">
                  <color theme="0"/>
                </bottom>
                <vertical/>
                <horizontal/>
              </border>
            </x14:dxf>
          </x14:cfRule>
          <xm:sqref>M162:R189</xm:sqref>
        </x14:conditionalFormatting>
        <x14:conditionalFormatting xmlns:xm="http://schemas.microsoft.com/office/excel/2006/main">
          <x14:cfRule type="expression" priority="550" id="{7A93FD74-DED4-49B4-9201-176F09C1FEF1}">
            <xm:f>$R$8='Assessment Details'!$Q$23</xm:f>
            <x14:dxf>
              <font>
                <color theme="0"/>
              </font>
              <fill>
                <patternFill>
                  <bgColor theme="0"/>
                </patternFill>
              </fill>
              <border>
                <vertical/>
                <horizontal/>
              </border>
            </x14:dxf>
          </x14:cfRule>
          <xm:sqref>F162:F189</xm:sqref>
        </x14:conditionalFormatting>
        <x14:conditionalFormatting xmlns:xm="http://schemas.microsoft.com/office/excel/2006/main">
          <x14:cfRule type="expression" priority="549" id="{3479F7C1-53ED-41C3-ABA1-64A7E57F64D9}">
            <xm:f>$R$8='Assessment Details'!$Q$23</xm:f>
            <x14:dxf>
              <border>
                <left style="thin">
                  <color theme="0"/>
                </left>
                <right style="thin">
                  <color theme="0"/>
                </right>
                <top style="thin">
                  <color theme="0"/>
                </top>
                <bottom style="thin">
                  <color theme="0"/>
                </bottom>
                <vertical/>
                <horizontal/>
              </border>
            </x14:dxf>
          </x14:cfRule>
          <xm:sqref>F162:F189</xm:sqref>
        </x14:conditionalFormatting>
        <x14:conditionalFormatting xmlns:xm="http://schemas.microsoft.com/office/excel/2006/main">
          <x14:cfRule type="expression" priority="548" id="{1836C5F5-8B8B-402F-9896-1534A68AEBD0}">
            <xm:f>$R$8='Assessment Details'!$Q$23</xm:f>
            <x14:dxf>
              <font>
                <color theme="0"/>
              </font>
              <fill>
                <patternFill>
                  <bgColor theme="0"/>
                </patternFill>
              </fill>
              <border>
                <vertical/>
                <horizontal/>
              </border>
            </x14:dxf>
          </x14:cfRule>
          <xm:sqref>T162:T189</xm:sqref>
        </x14:conditionalFormatting>
        <x14:conditionalFormatting xmlns:xm="http://schemas.microsoft.com/office/excel/2006/main">
          <x14:cfRule type="expression" priority="547" id="{BF1BF6B8-EE67-45EE-8151-CD83A657FDAA}">
            <xm:f>$R$8='Assessment Details'!$Q$23</xm:f>
            <x14:dxf>
              <border>
                <left style="thin">
                  <color theme="0"/>
                </left>
                <right style="thin">
                  <color theme="0"/>
                </right>
                <top style="thin">
                  <color theme="0"/>
                </top>
                <bottom style="thin">
                  <color theme="0"/>
                </bottom>
                <vertical/>
                <horizontal/>
              </border>
            </x14:dxf>
          </x14:cfRule>
          <xm:sqref>T162:T189</xm:sqref>
        </x14:conditionalFormatting>
        <x14:conditionalFormatting xmlns:xm="http://schemas.microsoft.com/office/excel/2006/main">
          <x14:cfRule type="expression" priority="542" id="{5A0129D5-F475-4E7B-9520-37E3A7D82FB5}">
            <xm:f>$R$8='Assessment Details'!$Q$23</xm:f>
            <x14:dxf>
              <font>
                <color theme="0"/>
              </font>
              <fill>
                <patternFill>
                  <bgColor theme="0"/>
                </patternFill>
              </fill>
              <border>
                <vertical/>
                <horizontal/>
              </border>
            </x14:dxf>
          </x14:cfRule>
          <xm:sqref>M162:M189</xm:sqref>
        </x14:conditionalFormatting>
        <x14:conditionalFormatting xmlns:xm="http://schemas.microsoft.com/office/excel/2006/main">
          <x14:cfRule type="expression" priority="541" id="{3EDFE930-693F-44DC-A566-8E16A1730788}">
            <xm:f>$R$8='Assessment Details'!$Q$23</xm:f>
            <x14:dxf>
              <border>
                <left style="thin">
                  <color theme="0"/>
                </left>
                <right style="thin">
                  <color theme="0"/>
                </right>
                <top style="thin">
                  <color theme="0"/>
                </top>
                <bottom style="thin">
                  <color theme="0"/>
                </bottom>
                <vertical/>
                <horizontal/>
              </border>
            </x14:dxf>
          </x14:cfRule>
          <xm:sqref>M162:M189</xm:sqref>
        </x14:conditionalFormatting>
        <x14:conditionalFormatting xmlns:xm="http://schemas.microsoft.com/office/excel/2006/main">
          <x14:cfRule type="expression" priority="536" id="{057F9949-7FFB-45CF-9FA0-E01BA035B3E1}">
            <xm:f>$R$8='Assessment Details'!$Q$23</xm:f>
            <x14:dxf>
              <font>
                <color theme="0"/>
              </font>
              <fill>
                <patternFill>
                  <bgColor theme="0"/>
                </patternFill>
              </fill>
              <border>
                <vertical/>
                <horizontal/>
              </border>
            </x14:dxf>
          </x14:cfRule>
          <xm:sqref>T162:T189</xm:sqref>
        </x14:conditionalFormatting>
        <x14:conditionalFormatting xmlns:xm="http://schemas.microsoft.com/office/excel/2006/main">
          <x14:cfRule type="expression" priority="535" id="{80517BA3-B24B-4CC8-BAF6-4329096F205D}">
            <xm:f>$R$8='Assessment Details'!$Q$23</xm:f>
            <x14:dxf>
              <border>
                <left style="thin">
                  <color theme="0"/>
                </left>
                <right style="thin">
                  <color theme="0"/>
                </right>
                <top style="thin">
                  <color theme="0"/>
                </top>
                <bottom style="thin">
                  <color theme="0"/>
                </bottom>
                <vertical/>
                <horizontal/>
              </border>
            </x14:dxf>
          </x14:cfRule>
          <xm:sqref>T162:T189</xm:sqref>
        </x14:conditionalFormatting>
        <x14:conditionalFormatting xmlns:xm="http://schemas.microsoft.com/office/excel/2006/main">
          <x14:cfRule type="expression" priority="534" id="{E0DE2EBF-C845-49F1-94AF-650660600766}">
            <xm:f>$R$8='Assessment Details'!$Q$23</xm:f>
            <x14:dxf>
              <font>
                <color theme="0"/>
              </font>
              <fill>
                <patternFill>
                  <bgColor theme="0"/>
                </patternFill>
              </fill>
              <border>
                <vertical/>
                <horizontal/>
              </border>
            </x14:dxf>
          </x14:cfRule>
          <xm:sqref>V162:V189</xm:sqref>
        </x14:conditionalFormatting>
        <x14:conditionalFormatting xmlns:xm="http://schemas.microsoft.com/office/excel/2006/main">
          <x14:cfRule type="expression" priority="533" id="{DAFECC4A-CD43-4625-8D29-C727AA37469A}">
            <xm:f>$R$8='Assessment Details'!$Q$23</xm:f>
            <x14:dxf>
              <border>
                <left style="thin">
                  <color theme="0"/>
                </left>
                <right style="thin">
                  <color theme="0"/>
                </right>
                <top style="thin">
                  <color theme="0"/>
                </top>
                <bottom style="thin">
                  <color theme="0"/>
                </bottom>
                <vertical/>
                <horizontal/>
              </border>
            </x14:dxf>
          </x14:cfRule>
          <xm:sqref>V162:V189</xm:sqref>
        </x14:conditionalFormatting>
        <x14:conditionalFormatting xmlns:xm="http://schemas.microsoft.com/office/excel/2006/main">
          <x14:cfRule type="expression" priority="566" id="{FEB2857A-BA6E-44AA-90FC-C961C6499428}">
            <xm:f>$Y$8='Assessment Details'!$Q$23</xm:f>
            <x14:dxf>
              <font>
                <color theme="0"/>
              </font>
              <fill>
                <patternFill>
                  <bgColor theme="0"/>
                </patternFill>
              </fill>
            </x14:dxf>
          </x14:cfRule>
          <xm:sqref>T162:Y189</xm:sqref>
        </x14:conditionalFormatting>
        <x14:conditionalFormatting xmlns:xm="http://schemas.microsoft.com/office/excel/2006/main">
          <x14:cfRule type="expression" priority="567" id="{99167A46-CA6A-47F7-A990-E00DE2E32EF5}">
            <xm:f>$Y$8='Assessment Details'!$Q$23</xm:f>
            <x14:dxf>
              <border>
                <left style="thin">
                  <color theme="0"/>
                </left>
                <right style="thin">
                  <color theme="0"/>
                </right>
                <top style="thin">
                  <color theme="0"/>
                </top>
                <bottom style="thin">
                  <color theme="0"/>
                </bottom>
                <vertical/>
                <horizontal/>
              </border>
            </x14:dxf>
          </x14:cfRule>
          <xm:sqref>T162:Y189</xm:sqref>
        </x14:conditionalFormatting>
        <x14:conditionalFormatting xmlns:xm="http://schemas.microsoft.com/office/excel/2006/main">
          <x14:cfRule type="expression" priority="517" id="{2D4D8628-D431-410C-93AE-F72D90B86CC9}">
            <xm:f>$R$8='Assessment Details'!$Q$23</xm:f>
            <x14:dxf>
              <font>
                <color theme="0"/>
              </font>
              <fill>
                <patternFill>
                  <bgColor theme="0"/>
                </patternFill>
              </fill>
              <border>
                <vertical/>
                <horizontal/>
              </border>
            </x14:dxf>
          </x14:cfRule>
          <xm:sqref>M193:R206</xm:sqref>
        </x14:conditionalFormatting>
        <x14:conditionalFormatting xmlns:xm="http://schemas.microsoft.com/office/excel/2006/main">
          <x14:cfRule type="expression" priority="516" id="{015B966D-565D-4D37-9E4E-D18C7D0FF4F2}">
            <xm:f>$R$8='Assessment Details'!$Q$23</xm:f>
            <x14:dxf>
              <border>
                <left style="thin">
                  <color theme="0"/>
                </left>
                <right style="thin">
                  <color theme="0"/>
                </right>
                <top style="thin">
                  <color theme="0"/>
                </top>
                <bottom style="thin">
                  <color theme="0"/>
                </bottom>
                <vertical/>
                <horizontal/>
              </border>
            </x14:dxf>
          </x14:cfRule>
          <xm:sqref>M193:R206</xm:sqref>
        </x14:conditionalFormatting>
        <x14:conditionalFormatting xmlns:xm="http://schemas.microsoft.com/office/excel/2006/main">
          <x14:cfRule type="expression" priority="515" id="{82B06A9D-B4C3-42DD-BA43-74A98B42E62E}">
            <xm:f>$R$8='Assessment Details'!$Q$23</xm:f>
            <x14:dxf>
              <font>
                <color theme="0"/>
              </font>
              <fill>
                <patternFill>
                  <bgColor theme="0"/>
                </patternFill>
              </fill>
              <border>
                <vertical/>
                <horizontal/>
              </border>
            </x14:dxf>
          </x14:cfRule>
          <xm:sqref>F193:F206</xm:sqref>
        </x14:conditionalFormatting>
        <x14:conditionalFormatting xmlns:xm="http://schemas.microsoft.com/office/excel/2006/main">
          <x14:cfRule type="expression" priority="514" id="{0A71DD26-7FAC-4690-9571-C689F0D42AF2}">
            <xm:f>$R$8='Assessment Details'!$Q$23</xm:f>
            <x14:dxf>
              <border>
                <left style="thin">
                  <color theme="0"/>
                </left>
                <right style="thin">
                  <color theme="0"/>
                </right>
                <top style="thin">
                  <color theme="0"/>
                </top>
                <bottom style="thin">
                  <color theme="0"/>
                </bottom>
                <vertical/>
                <horizontal/>
              </border>
            </x14:dxf>
          </x14:cfRule>
          <xm:sqref>F193:F206</xm:sqref>
        </x14:conditionalFormatting>
        <x14:conditionalFormatting xmlns:xm="http://schemas.microsoft.com/office/excel/2006/main">
          <x14:cfRule type="expression" priority="513" id="{05395A0B-8350-4986-B1BF-45C6CF92C754}">
            <xm:f>$R$8='Assessment Details'!$Q$23</xm:f>
            <x14:dxf>
              <font>
                <color theme="0"/>
              </font>
              <fill>
                <patternFill>
                  <bgColor theme="0"/>
                </patternFill>
              </fill>
              <border>
                <vertical/>
                <horizontal/>
              </border>
            </x14:dxf>
          </x14:cfRule>
          <xm:sqref>T193:T206</xm:sqref>
        </x14:conditionalFormatting>
        <x14:conditionalFormatting xmlns:xm="http://schemas.microsoft.com/office/excel/2006/main">
          <x14:cfRule type="expression" priority="512" id="{5A16073C-F037-4B4F-928B-F7AFC1A2B1B0}">
            <xm:f>$R$8='Assessment Details'!$Q$23</xm:f>
            <x14:dxf>
              <border>
                <left style="thin">
                  <color theme="0"/>
                </left>
                <right style="thin">
                  <color theme="0"/>
                </right>
                <top style="thin">
                  <color theme="0"/>
                </top>
                <bottom style="thin">
                  <color theme="0"/>
                </bottom>
                <vertical/>
                <horizontal/>
              </border>
            </x14:dxf>
          </x14:cfRule>
          <xm:sqref>T193:T206</xm:sqref>
        </x14:conditionalFormatting>
        <x14:conditionalFormatting xmlns:xm="http://schemas.microsoft.com/office/excel/2006/main">
          <x14:cfRule type="expression" priority="507" id="{59DC67A7-AED3-4C94-9F3D-E15C0CE6D8D8}">
            <xm:f>$R$8='Assessment Details'!$Q$23</xm:f>
            <x14:dxf>
              <font>
                <color theme="0"/>
              </font>
              <fill>
                <patternFill>
                  <bgColor theme="0"/>
                </patternFill>
              </fill>
              <border>
                <vertical/>
                <horizontal/>
              </border>
            </x14:dxf>
          </x14:cfRule>
          <xm:sqref>M193:M206</xm:sqref>
        </x14:conditionalFormatting>
        <x14:conditionalFormatting xmlns:xm="http://schemas.microsoft.com/office/excel/2006/main">
          <x14:cfRule type="expression" priority="506" id="{D470C32E-9F2E-4ECC-A7D9-0D38145C9893}">
            <xm:f>$R$8='Assessment Details'!$Q$23</xm:f>
            <x14:dxf>
              <border>
                <left style="thin">
                  <color theme="0"/>
                </left>
                <right style="thin">
                  <color theme="0"/>
                </right>
                <top style="thin">
                  <color theme="0"/>
                </top>
                <bottom style="thin">
                  <color theme="0"/>
                </bottom>
                <vertical/>
                <horizontal/>
              </border>
            </x14:dxf>
          </x14:cfRule>
          <xm:sqref>M193:M206</xm:sqref>
        </x14:conditionalFormatting>
        <x14:conditionalFormatting xmlns:xm="http://schemas.microsoft.com/office/excel/2006/main">
          <x14:cfRule type="expression" priority="501" id="{EDDC2238-6C67-480F-9BF4-AFDF50D3084D}">
            <xm:f>$R$8='Assessment Details'!$Q$23</xm:f>
            <x14:dxf>
              <font>
                <color theme="0"/>
              </font>
              <fill>
                <patternFill>
                  <bgColor theme="0"/>
                </patternFill>
              </fill>
              <border>
                <vertical/>
                <horizontal/>
              </border>
            </x14:dxf>
          </x14:cfRule>
          <xm:sqref>T193:T206</xm:sqref>
        </x14:conditionalFormatting>
        <x14:conditionalFormatting xmlns:xm="http://schemas.microsoft.com/office/excel/2006/main">
          <x14:cfRule type="expression" priority="500" id="{E2F5C077-BDDD-4B07-A881-974B93784BEB}">
            <xm:f>$R$8='Assessment Details'!$Q$23</xm:f>
            <x14:dxf>
              <border>
                <left style="thin">
                  <color theme="0"/>
                </left>
                <right style="thin">
                  <color theme="0"/>
                </right>
                <top style="thin">
                  <color theme="0"/>
                </top>
                <bottom style="thin">
                  <color theme="0"/>
                </bottom>
                <vertical/>
                <horizontal/>
              </border>
            </x14:dxf>
          </x14:cfRule>
          <xm:sqref>T193:T206</xm:sqref>
        </x14:conditionalFormatting>
        <x14:conditionalFormatting xmlns:xm="http://schemas.microsoft.com/office/excel/2006/main">
          <x14:cfRule type="expression" priority="499" id="{3BC69D2D-165D-45A9-8D8F-499754B18D23}">
            <xm:f>$R$8='Assessment Details'!$Q$23</xm:f>
            <x14:dxf>
              <font>
                <color theme="0"/>
              </font>
              <fill>
                <patternFill>
                  <bgColor theme="0"/>
                </patternFill>
              </fill>
              <border>
                <vertical/>
                <horizontal/>
              </border>
            </x14:dxf>
          </x14:cfRule>
          <xm:sqref>V193:V206</xm:sqref>
        </x14:conditionalFormatting>
        <x14:conditionalFormatting xmlns:xm="http://schemas.microsoft.com/office/excel/2006/main">
          <x14:cfRule type="expression" priority="498" id="{192FEE80-DFE5-4358-9809-7AC90906B053}">
            <xm:f>$R$8='Assessment Details'!$Q$23</xm:f>
            <x14:dxf>
              <border>
                <left style="thin">
                  <color theme="0"/>
                </left>
                <right style="thin">
                  <color theme="0"/>
                </right>
                <top style="thin">
                  <color theme="0"/>
                </top>
                <bottom style="thin">
                  <color theme="0"/>
                </bottom>
                <vertical/>
                <horizontal/>
              </border>
            </x14:dxf>
          </x14:cfRule>
          <xm:sqref>V193:V206</xm:sqref>
        </x14:conditionalFormatting>
        <x14:conditionalFormatting xmlns:xm="http://schemas.microsoft.com/office/excel/2006/main">
          <x14:cfRule type="expression" priority="531" id="{E528BB73-543D-4A5F-96B3-784CF6DDEB34}">
            <xm:f>$Y$8='Assessment Details'!$Q$23</xm:f>
            <x14:dxf>
              <font>
                <color theme="0"/>
              </font>
              <fill>
                <patternFill>
                  <bgColor theme="0"/>
                </patternFill>
              </fill>
            </x14:dxf>
          </x14:cfRule>
          <xm:sqref>T193:Y206</xm:sqref>
        </x14:conditionalFormatting>
        <x14:conditionalFormatting xmlns:xm="http://schemas.microsoft.com/office/excel/2006/main">
          <x14:cfRule type="expression" priority="532" id="{1E2066D6-A793-40B2-9F3E-575105D5FDF6}">
            <xm:f>$Y$8='Assessment Details'!$Q$23</xm:f>
            <x14:dxf>
              <border>
                <left style="thin">
                  <color theme="0"/>
                </left>
                <right style="thin">
                  <color theme="0"/>
                </right>
                <top style="thin">
                  <color theme="0"/>
                </top>
                <bottom style="thin">
                  <color theme="0"/>
                </bottom>
                <vertical/>
                <horizontal/>
              </border>
            </x14:dxf>
          </x14:cfRule>
          <xm:sqref>T193:Y206</xm:sqref>
        </x14:conditionalFormatting>
        <x14:conditionalFormatting xmlns:xm="http://schemas.microsoft.com/office/excel/2006/main">
          <x14:cfRule type="expression" priority="482" id="{A622B995-6D9D-4D80-BA4E-8DA1A9453462}">
            <xm:f>$R$8='Assessment Details'!$Q$23</xm:f>
            <x14:dxf>
              <font>
                <color theme="0"/>
              </font>
              <fill>
                <patternFill>
                  <bgColor theme="0"/>
                </patternFill>
              </fill>
              <border>
                <vertical/>
                <horizontal/>
              </border>
            </x14:dxf>
          </x14:cfRule>
          <xm:sqref>M210:R223</xm:sqref>
        </x14:conditionalFormatting>
        <x14:conditionalFormatting xmlns:xm="http://schemas.microsoft.com/office/excel/2006/main">
          <x14:cfRule type="expression" priority="481" id="{0FC0FD56-939B-4078-BC52-1911777DA96B}">
            <xm:f>$R$8='Assessment Details'!$Q$23</xm:f>
            <x14:dxf>
              <border>
                <left style="thin">
                  <color theme="0"/>
                </left>
                <right style="thin">
                  <color theme="0"/>
                </right>
                <top style="thin">
                  <color theme="0"/>
                </top>
                <bottom style="thin">
                  <color theme="0"/>
                </bottom>
                <vertical/>
                <horizontal/>
              </border>
            </x14:dxf>
          </x14:cfRule>
          <xm:sqref>M210:R223</xm:sqref>
        </x14:conditionalFormatting>
        <x14:conditionalFormatting xmlns:xm="http://schemas.microsoft.com/office/excel/2006/main">
          <x14:cfRule type="expression" priority="480" id="{D06F94AD-33C2-44A8-B55C-4E4E3995A6E8}">
            <xm:f>$R$8='Assessment Details'!$Q$23</xm:f>
            <x14:dxf>
              <font>
                <color theme="0"/>
              </font>
              <fill>
                <patternFill>
                  <bgColor theme="0"/>
                </patternFill>
              </fill>
              <border>
                <vertical/>
                <horizontal/>
              </border>
            </x14:dxf>
          </x14:cfRule>
          <xm:sqref>F210:F223</xm:sqref>
        </x14:conditionalFormatting>
        <x14:conditionalFormatting xmlns:xm="http://schemas.microsoft.com/office/excel/2006/main">
          <x14:cfRule type="expression" priority="479" id="{2F1BDC43-8D9F-4BCE-9F34-23AE00E19A4B}">
            <xm:f>$R$8='Assessment Details'!$Q$23</xm:f>
            <x14:dxf>
              <border>
                <left style="thin">
                  <color theme="0"/>
                </left>
                <right style="thin">
                  <color theme="0"/>
                </right>
                <top style="thin">
                  <color theme="0"/>
                </top>
                <bottom style="thin">
                  <color theme="0"/>
                </bottom>
                <vertical/>
                <horizontal/>
              </border>
            </x14:dxf>
          </x14:cfRule>
          <xm:sqref>F210:F223</xm:sqref>
        </x14:conditionalFormatting>
        <x14:conditionalFormatting xmlns:xm="http://schemas.microsoft.com/office/excel/2006/main">
          <x14:cfRule type="expression" priority="478" id="{859BD1F2-744F-486B-8C55-96B20456F3E0}">
            <xm:f>$R$8='Assessment Details'!$Q$23</xm:f>
            <x14:dxf>
              <font>
                <color theme="0"/>
              </font>
              <fill>
                <patternFill>
                  <bgColor theme="0"/>
                </patternFill>
              </fill>
              <border>
                <vertical/>
                <horizontal/>
              </border>
            </x14:dxf>
          </x14:cfRule>
          <xm:sqref>T210:T223</xm:sqref>
        </x14:conditionalFormatting>
        <x14:conditionalFormatting xmlns:xm="http://schemas.microsoft.com/office/excel/2006/main">
          <x14:cfRule type="expression" priority="477" id="{6B6532E9-94D4-4CB6-B791-5B4CE536DDAB}">
            <xm:f>$R$8='Assessment Details'!$Q$23</xm:f>
            <x14:dxf>
              <border>
                <left style="thin">
                  <color theme="0"/>
                </left>
                <right style="thin">
                  <color theme="0"/>
                </right>
                <top style="thin">
                  <color theme="0"/>
                </top>
                <bottom style="thin">
                  <color theme="0"/>
                </bottom>
                <vertical/>
                <horizontal/>
              </border>
            </x14:dxf>
          </x14:cfRule>
          <xm:sqref>T210:T223</xm:sqref>
        </x14:conditionalFormatting>
        <x14:conditionalFormatting xmlns:xm="http://schemas.microsoft.com/office/excel/2006/main">
          <x14:cfRule type="expression" priority="472" id="{D5EEB7E8-075A-482B-AFC1-51C683A2E573}">
            <xm:f>$R$8='Assessment Details'!$Q$23</xm:f>
            <x14:dxf>
              <font>
                <color theme="0"/>
              </font>
              <fill>
                <patternFill>
                  <bgColor theme="0"/>
                </patternFill>
              </fill>
              <border>
                <vertical/>
                <horizontal/>
              </border>
            </x14:dxf>
          </x14:cfRule>
          <xm:sqref>M210:M223</xm:sqref>
        </x14:conditionalFormatting>
        <x14:conditionalFormatting xmlns:xm="http://schemas.microsoft.com/office/excel/2006/main">
          <x14:cfRule type="expression" priority="471" id="{0B813027-90C8-4BFC-A25A-05CF56010166}">
            <xm:f>$R$8='Assessment Details'!$Q$23</xm:f>
            <x14:dxf>
              <border>
                <left style="thin">
                  <color theme="0"/>
                </left>
                <right style="thin">
                  <color theme="0"/>
                </right>
                <top style="thin">
                  <color theme="0"/>
                </top>
                <bottom style="thin">
                  <color theme="0"/>
                </bottom>
                <vertical/>
                <horizontal/>
              </border>
            </x14:dxf>
          </x14:cfRule>
          <xm:sqref>M210:M223</xm:sqref>
        </x14:conditionalFormatting>
        <x14:conditionalFormatting xmlns:xm="http://schemas.microsoft.com/office/excel/2006/main">
          <x14:cfRule type="expression" priority="466" id="{93639341-C588-40F7-9B23-91C6EB324DC0}">
            <xm:f>$R$8='Assessment Details'!$Q$23</xm:f>
            <x14:dxf>
              <font>
                <color theme="0"/>
              </font>
              <fill>
                <patternFill>
                  <bgColor theme="0"/>
                </patternFill>
              </fill>
              <border>
                <vertical/>
                <horizontal/>
              </border>
            </x14:dxf>
          </x14:cfRule>
          <xm:sqref>T210:T223</xm:sqref>
        </x14:conditionalFormatting>
        <x14:conditionalFormatting xmlns:xm="http://schemas.microsoft.com/office/excel/2006/main">
          <x14:cfRule type="expression" priority="465" id="{7B7128F1-54B0-4D1C-81B6-79A14A8DBC5D}">
            <xm:f>$R$8='Assessment Details'!$Q$23</xm:f>
            <x14:dxf>
              <border>
                <left style="thin">
                  <color theme="0"/>
                </left>
                <right style="thin">
                  <color theme="0"/>
                </right>
                <top style="thin">
                  <color theme="0"/>
                </top>
                <bottom style="thin">
                  <color theme="0"/>
                </bottom>
                <vertical/>
                <horizontal/>
              </border>
            </x14:dxf>
          </x14:cfRule>
          <xm:sqref>T210:T223</xm:sqref>
        </x14:conditionalFormatting>
        <x14:conditionalFormatting xmlns:xm="http://schemas.microsoft.com/office/excel/2006/main">
          <x14:cfRule type="expression" priority="464" id="{CAEE13B0-6E62-49E8-8123-F42128112D58}">
            <xm:f>$R$8='Assessment Details'!$Q$23</xm:f>
            <x14:dxf>
              <font>
                <color theme="0"/>
              </font>
              <fill>
                <patternFill>
                  <bgColor theme="0"/>
                </patternFill>
              </fill>
              <border>
                <vertical/>
                <horizontal/>
              </border>
            </x14:dxf>
          </x14:cfRule>
          <xm:sqref>V210:V223</xm:sqref>
        </x14:conditionalFormatting>
        <x14:conditionalFormatting xmlns:xm="http://schemas.microsoft.com/office/excel/2006/main">
          <x14:cfRule type="expression" priority="463" id="{B122DFB8-CD2D-4DCF-B071-7928086D03E9}">
            <xm:f>$R$8='Assessment Details'!$Q$23</xm:f>
            <x14:dxf>
              <border>
                <left style="thin">
                  <color theme="0"/>
                </left>
                <right style="thin">
                  <color theme="0"/>
                </right>
                <top style="thin">
                  <color theme="0"/>
                </top>
                <bottom style="thin">
                  <color theme="0"/>
                </bottom>
                <vertical/>
                <horizontal/>
              </border>
            </x14:dxf>
          </x14:cfRule>
          <xm:sqref>V210:V223</xm:sqref>
        </x14:conditionalFormatting>
        <x14:conditionalFormatting xmlns:xm="http://schemas.microsoft.com/office/excel/2006/main">
          <x14:cfRule type="expression" priority="496" id="{7C88334D-52CD-4F47-88C6-30AD86C01FC2}">
            <xm:f>$Y$8='Assessment Details'!$Q$23</xm:f>
            <x14:dxf>
              <font>
                <color theme="0"/>
              </font>
              <fill>
                <patternFill>
                  <bgColor theme="0"/>
                </patternFill>
              </fill>
            </x14:dxf>
          </x14:cfRule>
          <xm:sqref>T210:Y223</xm:sqref>
        </x14:conditionalFormatting>
        <x14:conditionalFormatting xmlns:xm="http://schemas.microsoft.com/office/excel/2006/main">
          <x14:cfRule type="expression" priority="497" id="{C715343C-CBDE-46AC-8E04-F1520CC08A4D}">
            <xm:f>$Y$8='Assessment Details'!$Q$23</xm:f>
            <x14:dxf>
              <border>
                <left style="thin">
                  <color theme="0"/>
                </left>
                <right style="thin">
                  <color theme="0"/>
                </right>
                <top style="thin">
                  <color theme="0"/>
                </top>
                <bottom style="thin">
                  <color theme="0"/>
                </bottom>
                <vertical/>
                <horizontal/>
              </border>
            </x14:dxf>
          </x14:cfRule>
          <xm:sqref>T210:Y223</xm:sqref>
        </x14:conditionalFormatting>
        <x14:conditionalFormatting xmlns:xm="http://schemas.microsoft.com/office/excel/2006/main">
          <x14:cfRule type="expression" priority="459" id="{1D0B6816-0ACD-49D3-AC26-20489EC84DC6}">
            <xm:f>$R$8='Assessment Details'!$Q$23</xm:f>
            <x14:dxf>
              <font>
                <color theme="0"/>
              </font>
              <fill>
                <patternFill>
                  <bgColor theme="0"/>
                </patternFill>
              </fill>
              <border>
                <vertical/>
                <horizontal/>
              </border>
            </x14:dxf>
          </x14:cfRule>
          <xm:sqref>M116:R116</xm:sqref>
        </x14:conditionalFormatting>
        <x14:conditionalFormatting xmlns:xm="http://schemas.microsoft.com/office/excel/2006/main">
          <x14:cfRule type="expression" priority="458" id="{D60F16AA-CFD6-478C-B82B-6628FEEA277D}">
            <xm:f>$R$8='Assessment Details'!$Q$23</xm:f>
            <x14:dxf>
              <border>
                <left style="thin">
                  <color theme="0"/>
                </left>
                <right style="thin">
                  <color theme="0"/>
                </right>
                <top style="thin">
                  <color theme="0"/>
                </top>
                <bottom style="thin">
                  <color theme="0"/>
                </bottom>
                <vertical/>
                <horizontal/>
              </border>
            </x14:dxf>
          </x14:cfRule>
          <xm:sqref>M116:R116</xm:sqref>
        </x14:conditionalFormatting>
        <x14:conditionalFormatting xmlns:xm="http://schemas.microsoft.com/office/excel/2006/main">
          <x14:cfRule type="expression" priority="461" id="{356C8871-B85B-4DC4-B3B6-F9AE9E51B2A7}">
            <xm:f>$Y$8='Assessment Details'!$Q$23</xm:f>
            <x14:dxf>
              <font>
                <color theme="0"/>
              </font>
              <fill>
                <patternFill>
                  <bgColor theme="0"/>
                </patternFill>
              </fill>
            </x14:dxf>
          </x14:cfRule>
          <xm:sqref>T116:Y116</xm:sqref>
        </x14:conditionalFormatting>
        <x14:conditionalFormatting xmlns:xm="http://schemas.microsoft.com/office/excel/2006/main">
          <x14:cfRule type="expression" priority="462" id="{EE1426CC-AADA-4C43-89C9-CBC68939AD4E}">
            <xm:f>$Y$8='Assessment Details'!$Q$23</xm:f>
            <x14:dxf>
              <border>
                <left style="thin">
                  <color theme="0"/>
                </left>
                <right style="thin">
                  <color theme="0"/>
                </right>
                <top style="thin">
                  <color theme="0"/>
                </top>
                <bottom style="thin">
                  <color theme="0"/>
                </bottom>
                <vertical/>
                <horizontal/>
              </border>
            </x14:dxf>
          </x14:cfRule>
          <xm:sqref>T116:Y116</xm:sqref>
        </x14:conditionalFormatting>
        <x14:conditionalFormatting xmlns:xm="http://schemas.microsoft.com/office/excel/2006/main">
          <x14:cfRule type="expression" priority="430" id="{AAC646EB-E609-4B62-BA1C-07FADE370399}">
            <xm:f>$R$8='Assessment Details'!$Q$23</xm:f>
            <x14:dxf>
              <font>
                <color theme="0"/>
              </font>
              <fill>
                <patternFill>
                  <bgColor theme="0"/>
                </patternFill>
              </fill>
              <border>
                <vertical/>
                <horizontal/>
              </border>
            </x14:dxf>
          </x14:cfRule>
          <xm:sqref>M115:R115</xm:sqref>
        </x14:conditionalFormatting>
        <x14:conditionalFormatting xmlns:xm="http://schemas.microsoft.com/office/excel/2006/main">
          <x14:cfRule type="expression" priority="429" id="{9F1C9523-6848-4855-B1CE-296AC42A3F84}">
            <xm:f>$R$8='Assessment Details'!$Q$23</xm:f>
            <x14:dxf>
              <border>
                <left style="thin">
                  <color theme="0"/>
                </left>
                <right style="thin">
                  <color theme="0"/>
                </right>
                <top style="thin">
                  <color theme="0"/>
                </top>
                <bottom style="thin">
                  <color theme="0"/>
                </bottom>
                <vertical/>
                <horizontal/>
              </border>
            </x14:dxf>
          </x14:cfRule>
          <xm:sqref>M115:R115</xm:sqref>
        </x14:conditionalFormatting>
        <x14:conditionalFormatting xmlns:xm="http://schemas.microsoft.com/office/excel/2006/main">
          <x14:cfRule type="expression" priority="444" id="{2099D480-B086-4F8D-83F6-F22D9B86716E}">
            <xm:f>$Y$8='Assessment Details'!$Q$23</xm:f>
            <x14:dxf>
              <font>
                <color theme="0"/>
              </font>
              <fill>
                <patternFill>
                  <bgColor theme="0"/>
                </patternFill>
              </fill>
            </x14:dxf>
          </x14:cfRule>
          <xm:sqref>T115:Y115</xm:sqref>
        </x14:conditionalFormatting>
        <x14:conditionalFormatting xmlns:xm="http://schemas.microsoft.com/office/excel/2006/main">
          <x14:cfRule type="expression" priority="445" id="{82BA2FFD-9433-4653-AA4C-7E011B5F0442}">
            <xm:f>$Y$8='Assessment Details'!$Q$23</xm:f>
            <x14:dxf>
              <border>
                <left style="thin">
                  <color theme="0"/>
                </left>
                <right style="thin">
                  <color theme="0"/>
                </right>
                <top style="thin">
                  <color theme="0"/>
                </top>
                <bottom style="thin">
                  <color theme="0"/>
                </bottom>
                <vertical/>
                <horizontal/>
              </border>
            </x14:dxf>
          </x14:cfRule>
          <xm:sqref>T115:Y115</xm:sqref>
        </x14:conditionalFormatting>
        <x14:conditionalFormatting xmlns:xm="http://schemas.microsoft.com/office/excel/2006/main">
          <x14:cfRule type="expression" priority="413" id="{C5236988-C79D-4852-8999-11FFAE35BC9E}">
            <xm:f>$R$8='Assessment Details'!$Q$23</xm:f>
            <x14:dxf>
              <font>
                <color theme="0"/>
              </font>
              <fill>
                <patternFill>
                  <bgColor theme="0"/>
                </patternFill>
              </fill>
              <border>
                <vertical/>
                <horizontal/>
              </border>
            </x14:dxf>
          </x14:cfRule>
          <xm:sqref>M114:R114</xm:sqref>
        </x14:conditionalFormatting>
        <x14:conditionalFormatting xmlns:xm="http://schemas.microsoft.com/office/excel/2006/main">
          <x14:cfRule type="expression" priority="412" id="{DDEF06B5-E1D9-4BD4-89DA-28BA0E1AE4FC}">
            <xm:f>$R$8='Assessment Details'!$Q$23</xm:f>
            <x14:dxf>
              <border>
                <left style="thin">
                  <color theme="0"/>
                </left>
                <right style="thin">
                  <color theme="0"/>
                </right>
                <top style="thin">
                  <color theme="0"/>
                </top>
                <bottom style="thin">
                  <color theme="0"/>
                </bottom>
                <vertical/>
                <horizontal/>
              </border>
            </x14:dxf>
          </x14:cfRule>
          <xm:sqref>M114:R114</xm:sqref>
        </x14:conditionalFormatting>
        <x14:conditionalFormatting xmlns:xm="http://schemas.microsoft.com/office/excel/2006/main">
          <x14:cfRule type="expression" priority="411" id="{C347AA3C-D0B8-4F09-B4D1-36DB18DE78EF}">
            <xm:f>$R$8='Assessment Details'!$Q$23</xm:f>
            <x14:dxf>
              <font>
                <color theme="0"/>
              </font>
              <fill>
                <patternFill>
                  <bgColor theme="0"/>
                </patternFill>
              </fill>
              <border>
                <vertical/>
                <horizontal/>
              </border>
            </x14:dxf>
          </x14:cfRule>
          <xm:sqref>F114</xm:sqref>
        </x14:conditionalFormatting>
        <x14:conditionalFormatting xmlns:xm="http://schemas.microsoft.com/office/excel/2006/main">
          <x14:cfRule type="expression" priority="410" id="{8968B4EF-1BC8-4A39-B0EC-CDE08651E6BB}">
            <xm:f>$R$8='Assessment Details'!$Q$23</xm:f>
            <x14:dxf>
              <border>
                <left style="thin">
                  <color theme="0"/>
                </left>
                <right style="thin">
                  <color theme="0"/>
                </right>
                <top style="thin">
                  <color theme="0"/>
                </top>
                <bottom style="thin">
                  <color theme="0"/>
                </bottom>
                <vertical/>
                <horizontal/>
              </border>
            </x14:dxf>
          </x14:cfRule>
          <xm:sqref>F114</xm:sqref>
        </x14:conditionalFormatting>
        <x14:conditionalFormatting xmlns:xm="http://schemas.microsoft.com/office/excel/2006/main">
          <x14:cfRule type="expression" priority="409" id="{69D85CA4-253D-4379-BE5F-2600F332D9AE}">
            <xm:f>$R$8='Assessment Details'!$Q$23</xm:f>
            <x14:dxf>
              <font>
                <color theme="0"/>
              </font>
              <fill>
                <patternFill>
                  <bgColor theme="0"/>
                </patternFill>
              </fill>
              <border>
                <vertical/>
                <horizontal/>
              </border>
            </x14:dxf>
          </x14:cfRule>
          <xm:sqref>T114</xm:sqref>
        </x14:conditionalFormatting>
        <x14:conditionalFormatting xmlns:xm="http://schemas.microsoft.com/office/excel/2006/main">
          <x14:cfRule type="expression" priority="408" id="{5C0A885D-4C5B-45DD-92FD-4D0E01D2BDDC}">
            <xm:f>$R$8='Assessment Details'!$Q$23</xm:f>
            <x14:dxf>
              <border>
                <left style="thin">
                  <color theme="0"/>
                </left>
                <right style="thin">
                  <color theme="0"/>
                </right>
                <top style="thin">
                  <color theme="0"/>
                </top>
                <bottom style="thin">
                  <color theme="0"/>
                </bottom>
                <vertical/>
                <horizontal/>
              </border>
            </x14:dxf>
          </x14:cfRule>
          <xm:sqref>T114</xm:sqref>
        </x14:conditionalFormatting>
        <x14:conditionalFormatting xmlns:xm="http://schemas.microsoft.com/office/excel/2006/main">
          <x14:cfRule type="expression" priority="407" id="{D376F328-03D9-4CEE-8BAC-7288D8179742}">
            <xm:f>$R$8='Assessment Details'!$Q$23</xm:f>
            <x14:dxf>
              <font>
                <color theme="0"/>
              </font>
              <fill>
                <patternFill>
                  <bgColor theme="0"/>
                </patternFill>
              </fill>
              <border>
                <vertical/>
                <horizontal/>
              </border>
            </x14:dxf>
          </x14:cfRule>
          <xm:sqref>V114</xm:sqref>
        </x14:conditionalFormatting>
        <x14:conditionalFormatting xmlns:xm="http://schemas.microsoft.com/office/excel/2006/main">
          <x14:cfRule type="expression" priority="406" id="{16FB1F49-1E96-4739-AC5F-3FECD1E2F8D7}">
            <xm:f>$R$8='Assessment Details'!$Q$23</xm:f>
            <x14:dxf>
              <border>
                <left style="thin">
                  <color theme="0"/>
                </left>
                <right style="thin">
                  <color theme="0"/>
                </right>
                <top style="thin">
                  <color theme="0"/>
                </top>
                <bottom style="thin">
                  <color theme="0"/>
                </bottom>
                <vertical/>
                <horizontal/>
              </border>
            </x14:dxf>
          </x14:cfRule>
          <xm:sqref>V114</xm:sqref>
        </x14:conditionalFormatting>
        <x14:conditionalFormatting xmlns:xm="http://schemas.microsoft.com/office/excel/2006/main">
          <x14:cfRule type="expression" priority="427" id="{615ACCA1-B3C1-46D8-8DCA-8569DD362245}">
            <xm:f>$Y$8='Assessment Details'!$Q$23</xm:f>
            <x14:dxf>
              <font>
                <color theme="0"/>
              </font>
              <fill>
                <patternFill>
                  <bgColor theme="0"/>
                </patternFill>
              </fill>
            </x14:dxf>
          </x14:cfRule>
          <xm:sqref>T114:Y114</xm:sqref>
        </x14:conditionalFormatting>
        <x14:conditionalFormatting xmlns:xm="http://schemas.microsoft.com/office/excel/2006/main">
          <x14:cfRule type="expression" priority="428" id="{09B8543E-EE9F-4ACC-816B-265230469AE1}">
            <xm:f>$Y$8='Assessment Details'!$Q$23</xm:f>
            <x14:dxf>
              <border>
                <left style="thin">
                  <color theme="0"/>
                </left>
                <right style="thin">
                  <color theme="0"/>
                </right>
                <top style="thin">
                  <color theme="0"/>
                </top>
                <bottom style="thin">
                  <color theme="0"/>
                </bottom>
                <vertical/>
                <horizontal/>
              </border>
            </x14:dxf>
          </x14:cfRule>
          <xm:sqref>T114:Y114</xm:sqref>
        </x14:conditionalFormatting>
        <x14:conditionalFormatting xmlns:xm="http://schemas.microsoft.com/office/excel/2006/main">
          <x14:cfRule type="expression" priority="402" id="{065B54E9-10FD-4A6F-ABC8-5F7EE8EA1D21}">
            <xm:f>$R$8='Assessment Details'!$Q$23</xm:f>
            <x14:dxf>
              <font>
                <color theme="0"/>
              </font>
              <fill>
                <patternFill>
                  <bgColor theme="0"/>
                </patternFill>
              </fill>
              <border>
                <vertical/>
                <horizontal/>
              </border>
            </x14:dxf>
          </x14:cfRule>
          <xm:sqref>M146:R146</xm:sqref>
        </x14:conditionalFormatting>
        <x14:conditionalFormatting xmlns:xm="http://schemas.microsoft.com/office/excel/2006/main">
          <x14:cfRule type="expression" priority="401" id="{6A970959-C929-4159-981D-2B2BF03B0E28}">
            <xm:f>$R$8='Assessment Details'!$Q$23</xm:f>
            <x14:dxf>
              <border>
                <left style="thin">
                  <color theme="0"/>
                </left>
                <right style="thin">
                  <color theme="0"/>
                </right>
                <top style="thin">
                  <color theme="0"/>
                </top>
                <bottom style="thin">
                  <color theme="0"/>
                </bottom>
                <vertical/>
                <horizontal/>
              </border>
            </x14:dxf>
          </x14:cfRule>
          <xm:sqref>M146:R146</xm:sqref>
        </x14:conditionalFormatting>
        <x14:conditionalFormatting xmlns:xm="http://schemas.microsoft.com/office/excel/2006/main">
          <x14:cfRule type="expression" priority="404" id="{5D0546AA-2DA6-4AAE-94D6-686ECE21A073}">
            <xm:f>$Y$8='Assessment Details'!$Q$23</xm:f>
            <x14:dxf>
              <font>
                <color theme="0"/>
              </font>
              <fill>
                <patternFill>
                  <bgColor theme="0"/>
                </patternFill>
              </fill>
            </x14:dxf>
          </x14:cfRule>
          <xm:sqref>T146:Y146</xm:sqref>
        </x14:conditionalFormatting>
        <x14:conditionalFormatting xmlns:xm="http://schemas.microsoft.com/office/excel/2006/main">
          <x14:cfRule type="expression" priority="405" id="{3E2AAD29-A6D9-4014-8E03-38B448FE21C0}">
            <xm:f>$Y$8='Assessment Details'!$Q$23</xm:f>
            <x14:dxf>
              <border>
                <left style="thin">
                  <color theme="0"/>
                </left>
                <right style="thin">
                  <color theme="0"/>
                </right>
                <top style="thin">
                  <color theme="0"/>
                </top>
                <bottom style="thin">
                  <color theme="0"/>
                </bottom>
                <vertical/>
                <horizontal/>
              </border>
            </x14:dxf>
          </x14:cfRule>
          <xm:sqref>T146:Y146</xm:sqref>
        </x14:conditionalFormatting>
        <x14:conditionalFormatting xmlns:xm="http://schemas.microsoft.com/office/excel/2006/main">
          <x14:cfRule type="expression" priority="356" id="{EFF4629E-F88C-401C-B24C-4393F3F8C395}">
            <xm:f>$R$8='Assessment Details'!$Q$23</xm:f>
            <x14:dxf>
              <font>
                <color theme="0"/>
              </font>
              <fill>
                <patternFill>
                  <bgColor theme="0"/>
                </patternFill>
              </fill>
              <border>
                <vertical/>
                <horizontal/>
              </border>
            </x14:dxf>
          </x14:cfRule>
          <xm:sqref>M145:R145</xm:sqref>
        </x14:conditionalFormatting>
        <x14:conditionalFormatting xmlns:xm="http://schemas.microsoft.com/office/excel/2006/main">
          <x14:cfRule type="expression" priority="355" id="{D2372C6D-1B3D-4954-940A-8D4EAD377660}">
            <xm:f>$R$8='Assessment Details'!$Q$23</xm:f>
            <x14:dxf>
              <border>
                <left style="thin">
                  <color theme="0"/>
                </left>
                <right style="thin">
                  <color theme="0"/>
                </right>
                <top style="thin">
                  <color theme="0"/>
                </top>
                <bottom style="thin">
                  <color theme="0"/>
                </bottom>
                <vertical/>
                <horizontal/>
              </border>
            </x14:dxf>
          </x14:cfRule>
          <xm:sqref>M145:R145</xm:sqref>
        </x14:conditionalFormatting>
        <x14:conditionalFormatting xmlns:xm="http://schemas.microsoft.com/office/excel/2006/main">
          <x14:cfRule type="expression" priority="370" id="{C7AF57F1-B3E5-46E1-A3EA-2655E8B396D8}">
            <xm:f>$Y$8='Assessment Details'!$Q$23</xm:f>
            <x14:dxf>
              <font>
                <color theme="0"/>
              </font>
              <fill>
                <patternFill>
                  <bgColor theme="0"/>
                </patternFill>
              </fill>
            </x14:dxf>
          </x14:cfRule>
          <xm:sqref>T145:Y145</xm:sqref>
        </x14:conditionalFormatting>
        <x14:conditionalFormatting xmlns:xm="http://schemas.microsoft.com/office/excel/2006/main">
          <x14:cfRule type="expression" priority="371" id="{293256E3-6A2E-441F-9171-D17EC6DDEFEF}">
            <xm:f>$Y$8='Assessment Details'!$Q$23</xm:f>
            <x14:dxf>
              <border>
                <left style="thin">
                  <color theme="0"/>
                </left>
                <right style="thin">
                  <color theme="0"/>
                </right>
                <top style="thin">
                  <color theme="0"/>
                </top>
                <bottom style="thin">
                  <color theme="0"/>
                </bottom>
                <vertical/>
                <horizontal/>
              </border>
            </x14:dxf>
          </x14:cfRule>
          <xm:sqref>T145:Y145</xm:sqref>
        </x14:conditionalFormatting>
        <x14:conditionalFormatting xmlns:xm="http://schemas.microsoft.com/office/excel/2006/main">
          <x14:cfRule type="expression" priority="339" id="{3C999881-22D4-4377-B422-96E7BA4A6D7C}">
            <xm:f>$R$8='Assessment Details'!$Q$23</xm:f>
            <x14:dxf>
              <font>
                <color theme="0"/>
              </font>
              <fill>
                <patternFill>
                  <bgColor theme="0"/>
                </patternFill>
              </fill>
              <border>
                <vertical/>
                <horizontal/>
              </border>
            </x14:dxf>
          </x14:cfRule>
          <xm:sqref>M144:R144</xm:sqref>
        </x14:conditionalFormatting>
        <x14:conditionalFormatting xmlns:xm="http://schemas.microsoft.com/office/excel/2006/main">
          <x14:cfRule type="expression" priority="338" id="{9EA097CD-30CD-4E04-894B-CC20B8E1FC75}">
            <xm:f>$R$8='Assessment Details'!$Q$23</xm:f>
            <x14:dxf>
              <border>
                <left style="thin">
                  <color theme="0"/>
                </left>
                <right style="thin">
                  <color theme="0"/>
                </right>
                <top style="thin">
                  <color theme="0"/>
                </top>
                <bottom style="thin">
                  <color theme="0"/>
                </bottom>
                <vertical/>
                <horizontal/>
              </border>
            </x14:dxf>
          </x14:cfRule>
          <xm:sqref>M144:R144</xm:sqref>
        </x14:conditionalFormatting>
        <x14:conditionalFormatting xmlns:xm="http://schemas.microsoft.com/office/excel/2006/main">
          <x14:cfRule type="expression" priority="337" id="{71344784-8930-41DD-9068-F1A27456F2FB}">
            <xm:f>$R$8='Assessment Details'!$Q$23</xm:f>
            <x14:dxf>
              <font>
                <color theme="0"/>
              </font>
              <fill>
                <patternFill>
                  <bgColor theme="0"/>
                </patternFill>
              </fill>
              <border>
                <vertical/>
                <horizontal/>
              </border>
            </x14:dxf>
          </x14:cfRule>
          <xm:sqref>F144</xm:sqref>
        </x14:conditionalFormatting>
        <x14:conditionalFormatting xmlns:xm="http://schemas.microsoft.com/office/excel/2006/main">
          <x14:cfRule type="expression" priority="336" id="{17D3BFAC-3ED5-46B7-8A87-FDE46A9FE42C}">
            <xm:f>$R$8='Assessment Details'!$Q$23</xm:f>
            <x14:dxf>
              <border>
                <left style="thin">
                  <color theme="0"/>
                </left>
                <right style="thin">
                  <color theme="0"/>
                </right>
                <top style="thin">
                  <color theme="0"/>
                </top>
                <bottom style="thin">
                  <color theme="0"/>
                </bottom>
                <vertical/>
                <horizontal/>
              </border>
            </x14:dxf>
          </x14:cfRule>
          <xm:sqref>F144</xm:sqref>
        </x14:conditionalFormatting>
        <x14:conditionalFormatting xmlns:xm="http://schemas.microsoft.com/office/excel/2006/main">
          <x14:cfRule type="expression" priority="335" id="{4D33337E-30D9-4C34-AEC2-F855097553FE}">
            <xm:f>$R$8='Assessment Details'!$Q$23</xm:f>
            <x14:dxf>
              <font>
                <color theme="0"/>
              </font>
              <fill>
                <patternFill>
                  <bgColor theme="0"/>
                </patternFill>
              </fill>
              <border>
                <vertical/>
                <horizontal/>
              </border>
            </x14:dxf>
          </x14:cfRule>
          <xm:sqref>T144</xm:sqref>
        </x14:conditionalFormatting>
        <x14:conditionalFormatting xmlns:xm="http://schemas.microsoft.com/office/excel/2006/main">
          <x14:cfRule type="expression" priority="334" id="{6D8C878D-D96F-446E-96C6-477ED50893A3}">
            <xm:f>$R$8='Assessment Details'!$Q$23</xm:f>
            <x14:dxf>
              <border>
                <left style="thin">
                  <color theme="0"/>
                </left>
                <right style="thin">
                  <color theme="0"/>
                </right>
                <top style="thin">
                  <color theme="0"/>
                </top>
                <bottom style="thin">
                  <color theme="0"/>
                </bottom>
                <vertical/>
                <horizontal/>
              </border>
            </x14:dxf>
          </x14:cfRule>
          <xm:sqref>T144</xm:sqref>
        </x14:conditionalFormatting>
        <x14:conditionalFormatting xmlns:xm="http://schemas.microsoft.com/office/excel/2006/main">
          <x14:cfRule type="expression" priority="333" id="{15294CC7-DCC1-4D84-827F-CB285653FCF0}">
            <xm:f>$R$8='Assessment Details'!$Q$23</xm:f>
            <x14:dxf>
              <font>
                <color theme="0"/>
              </font>
              <fill>
                <patternFill>
                  <bgColor theme="0"/>
                </patternFill>
              </fill>
              <border>
                <vertical/>
                <horizontal/>
              </border>
            </x14:dxf>
          </x14:cfRule>
          <xm:sqref>V144</xm:sqref>
        </x14:conditionalFormatting>
        <x14:conditionalFormatting xmlns:xm="http://schemas.microsoft.com/office/excel/2006/main">
          <x14:cfRule type="expression" priority="332" id="{E7CDA425-F81B-49E1-93FB-886D21F2B0CF}">
            <xm:f>$R$8='Assessment Details'!$Q$23</xm:f>
            <x14:dxf>
              <border>
                <left style="thin">
                  <color theme="0"/>
                </left>
                <right style="thin">
                  <color theme="0"/>
                </right>
                <top style="thin">
                  <color theme="0"/>
                </top>
                <bottom style="thin">
                  <color theme="0"/>
                </bottom>
                <vertical/>
                <horizontal/>
              </border>
            </x14:dxf>
          </x14:cfRule>
          <xm:sqref>V144</xm:sqref>
        </x14:conditionalFormatting>
        <x14:conditionalFormatting xmlns:xm="http://schemas.microsoft.com/office/excel/2006/main">
          <x14:cfRule type="expression" priority="353" id="{03FF957A-6047-4E35-9C1E-8D0487FCDA7B}">
            <xm:f>$Y$8='Assessment Details'!$Q$23</xm:f>
            <x14:dxf>
              <font>
                <color theme="0"/>
              </font>
              <fill>
                <patternFill>
                  <bgColor theme="0"/>
                </patternFill>
              </fill>
            </x14:dxf>
          </x14:cfRule>
          <xm:sqref>T144:Y144</xm:sqref>
        </x14:conditionalFormatting>
        <x14:conditionalFormatting xmlns:xm="http://schemas.microsoft.com/office/excel/2006/main">
          <x14:cfRule type="expression" priority="354" id="{00343659-48AD-46B3-B4BB-B29A3AEFEEC2}">
            <xm:f>$Y$8='Assessment Details'!$Q$23</xm:f>
            <x14:dxf>
              <border>
                <left style="thin">
                  <color theme="0"/>
                </left>
                <right style="thin">
                  <color theme="0"/>
                </right>
                <top style="thin">
                  <color theme="0"/>
                </top>
                <bottom style="thin">
                  <color theme="0"/>
                </bottom>
                <vertical/>
                <horizontal/>
              </border>
            </x14:dxf>
          </x14:cfRule>
          <xm:sqref>T144:Y144</xm:sqref>
        </x14:conditionalFormatting>
        <x14:conditionalFormatting xmlns:xm="http://schemas.microsoft.com/office/excel/2006/main">
          <x14:cfRule type="expression" priority="328" id="{FD0DBAA9-F08E-4C14-A08B-651DCC9992C3}">
            <xm:f>$R$8='Assessment Details'!$Q$23</xm:f>
            <x14:dxf>
              <font>
                <color theme="0"/>
              </font>
              <fill>
                <patternFill>
                  <bgColor theme="0"/>
                </patternFill>
              </fill>
              <border>
                <vertical/>
                <horizontal/>
              </border>
            </x14:dxf>
          </x14:cfRule>
          <xm:sqref>M161:R161</xm:sqref>
        </x14:conditionalFormatting>
        <x14:conditionalFormatting xmlns:xm="http://schemas.microsoft.com/office/excel/2006/main">
          <x14:cfRule type="expression" priority="327" id="{8F97BEAF-6DAD-4787-BD1B-9857C179295C}">
            <xm:f>$R$8='Assessment Details'!$Q$23</xm:f>
            <x14:dxf>
              <border>
                <left style="thin">
                  <color theme="0"/>
                </left>
                <right style="thin">
                  <color theme="0"/>
                </right>
                <top style="thin">
                  <color theme="0"/>
                </top>
                <bottom style="thin">
                  <color theme="0"/>
                </bottom>
                <vertical/>
                <horizontal/>
              </border>
            </x14:dxf>
          </x14:cfRule>
          <xm:sqref>M161:R161</xm:sqref>
        </x14:conditionalFormatting>
        <x14:conditionalFormatting xmlns:xm="http://schemas.microsoft.com/office/excel/2006/main">
          <x14:cfRule type="expression" priority="330" id="{141B743C-5323-4893-8270-4A989CC4771B}">
            <xm:f>$Y$8='Assessment Details'!$Q$23</xm:f>
            <x14:dxf>
              <font>
                <color theme="0"/>
              </font>
              <fill>
                <patternFill>
                  <bgColor theme="0"/>
                </patternFill>
              </fill>
            </x14:dxf>
          </x14:cfRule>
          <xm:sqref>T161:Y161</xm:sqref>
        </x14:conditionalFormatting>
        <x14:conditionalFormatting xmlns:xm="http://schemas.microsoft.com/office/excel/2006/main">
          <x14:cfRule type="expression" priority="331" id="{7735BDAE-C7D8-43C2-B4B1-85AE25DE2A5B}">
            <xm:f>$Y$8='Assessment Details'!$Q$23</xm:f>
            <x14:dxf>
              <border>
                <left style="thin">
                  <color theme="0"/>
                </left>
                <right style="thin">
                  <color theme="0"/>
                </right>
                <top style="thin">
                  <color theme="0"/>
                </top>
                <bottom style="thin">
                  <color theme="0"/>
                </bottom>
                <vertical/>
                <horizontal/>
              </border>
            </x14:dxf>
          </x14:cfRule>
          <xm:sqref>T161:Y161</xm:sqref>
        </x14:conditionalFormatting>
        <x14:conditionalFormatting xmlns:xm="http://schemas.microsoft.com/office/excel/2006/main">
          <x14:cfRule type="expression" priority="265" id="{D4593B21-BCBD-41EE-93A1-FDE51180C2A0}">
            <xm:f>$R$8='Assessment Details'!$Q$23</xm:f>
            <x14:dxf>
              <font>
                <color theme="0"/>
              </font>
              <fill>
                <patternFill>
                  <bgColor theme="0"/>
                </patternFill>
              </fill>
              <border>
                <vertical/>
                <horizontal/>
              </border>
            </x14:dxf>
          </x14:cfRule>
          <xm:sqref>M160:R160</xm:sqref>
        </x14:conditionalFormatting>
        <x14:conditionalFormatting xmlns:xm="http://schemas.microsoft.com/office/excel/2006/main">
          <x14:cfRule type="expression" priority="264" id="{E86AD8DD-06EB-41C6-889C-62DF146A38E0}">
            <xm:f>$R$8='Assessment Details'!$Q$23</xm:f>
            <x14:dxf>
              <border>
                <left style="thin">
                  <color theme="0"/>
                </left>
                <right style="thin">
                  <color theme="0"/>
                </right>
                <top style="thin">
                  <color theme="0"/>
                </top>
                <bottom style="thin">
                  <color theme="0"/>
                </bottom>
                <vertical/>
                <horizontal/>
              </border>
            </x14:dxf>
          </x14:cfRule>
          <xm:sqref>M160:R160</xm:sqref>
        </x14:conditionalFormatting>
        <x14:conditionalFormatting xmlns:xm="http://schemas.microsoft.com/office/excel/2006/main">
          <x14:cfRule type="expression" priority="279" id="{CE6C71F0-8DE5-40BB-90F5-389E0D4FCAF6}">
            <xm:f>$Y$8='Assessment Details'!$Q$23</xm:f>
            <x14:dxf>
              <font>
                <color theme="0"/>
              </font>
              <fill>
                <patternFill>
                  <bgColor theme="0"/>
                </patternFill>
              </fill>
            </x14:dxf>
          </x14:cfRule>
          <xm:sqref>T160:Y160</xm:sqref>
        </x14:conditionalFormatting>
        <x14:conditionalFormatting xmlns:xm="http://schemas.microsoft.com/office/excel/2006/main">
          <x14:cfRule type="expression" priority="280" id="{B4FF73DB-7FC4-4D3A-86B8-14B54CD36108}">
            <xm:f>$Y$8='Assessment Details'!$Q$23</xm:f>
            <x14:dxf>
              <border>
                <left style="thin">
                  <color theme="0"/>
                </left>
                <right style="thin">
                  <color theme="0"/>
                </right>
                <top style="thin">
                  <color theme="0"/>
                </top>
                <bottom style="thin">
                  <color theme="0"/>
                </bottom>
                <vertical/>
                <horizontal/>
              </border>
            </x14:dxf>
          </x14:cfRule>
          <xm:sqref>T160:Y160</xm:sqref>
        </x14:conditionalFormatting>
        <x14:conditionalFormatting xmlns:xm="http://schemas.microsoft.com/office/excel/2006/main">
          <x14:cfRule type="expression" priority="260" id="{DF0939D4-5C86-416C-A01A-143B9BBE00FB}">
            <xm:f>$R$8='Assessment Details'!$Q$23</xm:f>
            <x14:dxf>
              <font>
                <color theme="0"/>
              </font>
              <fill>
                <patternFill>
                  <bgColor theme="0"/>
                </patternFill>
              </fill>
              <border>
                <vertical/>
                <horizontal/>
              </border>
            </x14:dxf>
          </x14:cfRule>
          <xm:sqref>M192:R192</xm:sqref>
        </x14:conditionalFormatting>
        <x14:conditionalFormatting xmlns:xm="http://schemas.microsoft.com/office/excel/2006/main">
          <x14:cfRule type="expression" priority="259" id="{49C30E61-8273-4E18-B379-F23FBB54C136}">
            <xm:f>$R$8='Assessment Details'!$Q$23</xm:f>
            <x14:dxf>
              <border>
                <left style="thin">
                  <color theme="0"/>
                </left>
                <right style="thin">
                  <color theme="0"/>
                </right>
                <top style="thin">
                  <color theme="0"/>
                </top>
                <bottom style="thin">
                  <color theme="0"/>
                </bottom>
                <vertical/>
                <horizontal/>
              </border>
            </x14:dxf>
          </x14:cfRule>
          <xm:sqref>M192:R192</xm:sqref>
        </x14:conditionalFormatting>
        <x14:conditionalFormatting xmlns:xm="http://schemas.microsoft.com/office/excel/2006/main">
          <x14:cfRule type="expression" priority="262" id="{FE2F6299-E911-4B63-83B8-9AD7D7FCE704}">
            <xm:f>$Y$8='Assessment Details'!$Q$23</xm:f>
            <x14:dxf>
              <font>
                <color theme="0"/>
              </font>
              <fill>
                <patternFill>
                  <bgColor theme="0"/>
                </patternFill>
              </fill>
            </x14:dxf>
          </x14:cfRule>
          <xm:sqref>T192:Y192</xm:sqref>
        </x14:conditionalFormatting>
        <x14:conditionalFormatting xmlns:xm="http://schemas.microsoft.com/office/excel/2006/main">
          <x14:cfRule type="expression" priority="263" id="{10469AA9-0936-4CA9-8992-101317D5B895}">
            <xm:f>$Y$8='Assessment Details'!$Q$23</xm:f>
            <x14:dxf>
              <border>
                <left style="thin">
                  <color theme="0"/>
                </left>
                <right style="thin">
                  <color theme="0"/>
                </right>
                <top style="thin">
                  <color theme="0"/>
                </top>
                <bottom style="thin">
                  <color theme="0"/>
                </bottom>
                <vertical/>
                <horizontal/>
              </border>
            </x14:dxf>
          </x14:cfRule>
          <xm:sqref>T192:Y192</xm:sqref>
        </x14:conditionalFormatting>
        <x14:conditionalFormatting xmlns:xm="http://schemas.microsoft.com/office/excel/2006/main">
          <x14:cfRule type="expression" priority="197" id="{172ABDCD-A906-4466-9501-00076A6F915E}">
            <xm:f>$R$8='Assessment Details'!$Q$23</xm:f>
            <x14:dxf>
              <font>
                <color theme="0"/>
              </font>
              <fill>
                <patternFill>
                  <bgColor theme="0"/>
                </patternFill>
              </fill>
              <border>
                <vertical/>
                <horizontal/>
              </border>
            </x14:dxf>
          </x14:cfRule>
          <xm:sqref>M191:R191</xm:sqref>
        </x14:conditionalFormatting>
        <x14:conditionalFormatting xmlns:xm="http://schemas.microsoft.com/office/excel/2006/main">
          <x14:cfRule type="expression" priority="196" id="{8F551B71-707E-4638-864F-D436EACC243A}">
            <xm:f>$R$8='Assessment Details'!$Q$23</xm:f>
            <x14:dxf>
              <border>
                <left style="thin">
                  <color theme="0"/>
                </left>
                <right style="thin">
                  <color theme="0"/>
                </right>
                <top style="thin">
                  <color theme="0"/>
                </top>
                <bottom style="thin">
                  <color theme="0"/>
                </bottom>
                <vertical/>
                <horizontal/>
              </border>
            </x14:dxf>
          </x14:cfRule>
          <xm:sqref>M191:R191</xm:sqref>
        </x14:conditionalFormatting>
        <x14:conditionalFormatting xmlns:xm="http://schemas.microsoft.com/office/excel/2006/main">
          <x14:cfRule type="expression" priority="211" id="{0F515721-4D9F-4F7F-93BD-6FDC7B480D17}">
            <xm:f>$Y$8='Assessment Details'!$Q$23</xm:f>
            <x14:dxf>
              <font>
                <color theme="0"/>
              </font>
              <fill>
                <patternFill>
                  <bgColor theme="0"/>
                </patternFill>
              </fill>
            </x14:dxf>
          </x14:cfRule>
          <xm:sqref>T191:Y191</xm:sqref>
        </x14:conditionalFormatting>
        <x14:conditionalFormatting xmlns:xm="http://schemas.microsoft.com/office/excel/2006/main">
          <x14:cfRule type="expression" priority="212" id="{3AADF273-AAA5-44D8-A001-A16F769A1DEA}">
            <xm:f>$Y$8='Assessment Details'!$Q$23</xm:f>
            <x14:dxf>
              <border>
                <left style="thin">
                  <color theme="0"/>
                </left>
                <right style="thin">
                  <color theme="0"/>
                </right>
                <top style="thin">
                  <color theme="0"/>
                </top>
                <bottom style="thin">
                  <color theme="0"/>
                </bottom>
                <vertical/>
                <horizontal/>
              </border>
            </x14:dxf>
          </x14:cfRule>
          <xm:sqref>T191:Y191</xm:sqref>
        </x14:conditionalFormatting>
        <x14:conditionalFormatting xmlns:xm="http://schemas.microsoft.com/office/excel/2006/main">
          <x14:cfRule type="expression" priority="180" id="{8902EC28-A13A-4568-8D35-D2BD2AC15F0E}">
            <xm:f>$R$8='Assessment Details'!$Q$23</xm:f>
            <x14:dxf>
              <font>
                <color theme="0"/>
              </font>
              <fill>
                <patternFill>
                  <bgColor theme="0"/>
                </patternFill>
              </fill>
              <border>
                <vertical/>
                <horizontal/>
              </border>
            </x14:dxf>
          </x14:cfRule>
          <xm:sqref>M159:R159</xm:sqref>
        </x14:conditionalFormatting>
        <x14:conditionalFormatting xmlns:xm="http://schemas.microsoft.com/office/excel/2006/main">
          <x14:cfRule type="expression" priority="179" id="{2BBF6B89-459D-4AE7-8F3C-7D0CDA267539}">
            <xm:f>$R$8='Assessment Details'!$Q$23</xm:f>
            <x14:dxf>
              <border>
                <left style="thin">
                  <color theme="0"/>
                </left>
                <right style="thin">
                  <color theme="0"/>
                </right>
                <top style="thin">
                  <color theme="0"/>
                </top>
                <bottom style="thin">
                  <color theme="0"/>
                </bottom>
                <vertical/>
                <horizontal/>
              </border>
            </x14:dxf>
          </x14:cfRule>
          <xm:sqref>M159:R159</xm:sqref>
        </x14:conditionalFormatting>
        <x14:conditionalFormatting xmlns:xm="http://schemas.microsoft.com/office/excel/2006/main">
          <x14:cfRule type="expression" priority="178" id="{78FAA767-EF37-463D-829F-0B1AF2BEDA83}">
            <xm:f>$R$8='Assessment Details'!$Q$23</xm:f>
            <x14:dxf>
              <font>
                <color theme="0"/>
              </font>
              <fill>
                <patternFill>
                  <bgColor theme="0"/>
                </patternFill>
              </fill>
              <border>
                <vertical/>
                <horizontal/>
              </border>
            </x14:dxf>
          </x14:cfRule>
          <xm:sqref>F159</xm:sqref>
        </x14:conditionalFormatting>
        <x14:conditionalFormatting xmlns:xm="http://schemas.microsoft.com/office/excel/2006/main">
          <x14:cfRule type="expression" priority="177" id="{59A148E8-E2E2-4C13-9BA7-4917EEFC9810}">
            <xm:f>$R$8='Assessment Details'!$Q$23</xm:f>
            <x14:dxf>
              <border>
                <left style="thin">
                  <color theme="0"/>
                </left>
                <right style="thin">
                  <color theme="0"/>
                </right>
                <top style="thin">
                  <color theme="0"/>
                </top>
                <bottom style="thin">
                  <color theme="0"/>
                </bottom>
                <vertical/>
                <horizontal/>
              </border>
            </x14:dxf>
          </x14:cfRule>
          <xm:sqref>F159</xm:sqref>
        </x14:conditionalFormatting>
        <x14:conditionalFormatting xmlns:xm="http://schemas.microsoft.com/office/excel/2006/main">
          <x14:cfRule type="expression" priority="176" id="{86C6382E-6A5F-4F5E-AC04-32CFAFDEB67A}">
            <xm:f>$R$8='Assessment Details'!$Q$23</xm:f>
            <x14:dxf>
              <font>
                <color theme="0"/>
              </font>
              <fill>
                <patternFill>
                  <bgColor theme="0"/>
                </patternFill>
              </fill>
              <border>
                <vertical/>
                <horizontal/>
              </border>
            </x14:dxf>
          </x14:cfRule>
          <xm:sqref>T159</xm:sqref>
        </x14:conditionalFormatting>
        <x14:conditionalFormatting xmlns:xm="http://schemas.microsoft.com/office/excel/2006/main">
          <x14:cfRule type="expression" priority="175" id="{F2C142DA-9146-48ED-8F06-FFE18D63DF4B}">
            <xm:f>$R$8='Assessment Details'!$Q$23</xm:f>
            <x14:dxf>
              <border>
                <left style="thin">
                  <color theme="0"/>
                </left>
                <right style="thin">
                  <color theme="0"/>
                </right>
                <top style="thin">
                  <color theme="0"/>
                </top>
                <bottom style="thin">
                  <color theme="0"/>
                </bottom>
                <vertical/>
                <horizontal/>
              </border>
            </x14:dxf>
          </x14:cfRule>
          <xm:sqref>T159</xm:sqref>
        </x14:conditionalFormatting>
        <x14:conditionalFormatting xmlns:xm="http://schemas.microsoft.com/office/excel/2006/main">
          <x14:cfRule type="expression" priority="174" id="{7764DF05-321F-47B2-B72A-C2A9A1A2FECF}">
            <xm:f>$R$8='Assessment Details'!$Q$23</xm:f>
            <x14:dxf>
              <font>
                <color theme="0"/>
              </font>
              <fill>
                <patternFill>
                  <bgColor theme="0"/>
                </patternFill>
              </fill>
              <border>
                <vertical/>
                <horizontal/>
              </border>
            </x14:dxf>
          </x14:cfRule>
          <xm:sqref>V159</xm:sqref>
        </x14:conditionalFormatting>
        <x14:conditionalFormatting xmlns:xm="http://schemas.microsoft.com/office/excel/2006/main">
          <x14:cfRule type="expression" priority="173" id="{B82C095B-4C92-4313-875D-746BDAEB18CC}">
            <xm:f>$R$8='Assessment Details'!$Q$23</xm:f>
            <x14:dxf>
              <border>
                <left style="thin">
                  <color theme="0"/>
                </left>
                <right style="thin">
                  <color theme="0"/>
                </right>
                <top style="thin">
                  <color theme="0"/>
                </top>
                <bottom style="thin">
                  <color theme="0"/>
                </bottom>
                <vertical/>
                <horizontal/>
              </border>
            </x14:dxf>
          </x14:cfRule>
          <xm:sqref>V159</xm:sqref>
        </x14:conditionalFormatting>
        <x14:conditionalFormatting xmlns:xm="http://schemas.microsoft.com/office/excel/2006/main">
          <x14:cfRule type="expression" priority="194" id="{4FFB8211-36DB-4191-95CE-5B1D4C18C8BD}">
            <xm:f>$Y$8='Assessment Details'!$Q$23</xm:f>
            <x14:dxf>
              <font>
                <color theme="0"/>
              </font>
              <fill>
                <patternFill>
                  <bgColor theme="0"/>
                </patternFill>
              </fill>
            </x14:dxf>
          </x14:cfRule>
          <xm:sqref>T159:Y159</xm:sqref>
        </x14:conditionalFormatting>
        <x14:conditionalFormatting xmlns:xm="http://schemas.microsoft.com/office/excel/2006/main">
          <x14:cfRule type="expression" priority="195" id="{872ADC80-9CAB-401C-921D-E536F46A4077}">
            <xm:f>$Y$8='Assessment Details'!$Q$23</xm:f>
            <x14:dxf>
              <border>
                <left style="thin">
                  <color theme="0"/>
                </left>
                <right style="thin">
                  <color theme="0"/>
                </right>
                <top style="thin">
                  <color theme="0"/>
                </top>
                <bottom style="thin">
                  <color theme="0"/>
                </bottom>
                <vertical/>
                <horizontal/>
              </border>
            </x14:dxf>
          </x14:cfRule>
          <xm:sqref>T159:Y159</xm:sqref>
        </x14:conditionalFormatting>
        <x14:conditionalFormatting xmlns:xm="http://schemas.microsoft.com/office/excel/2006/main">
          <x14:cfRule type="expression" priority="157" id="{1F82CB99-86B1-4C85-BE83-6F868889274E}">
            <xm:f>$R$8='Assessment Details'!$Q$23</xm:f>
            <x14:dxf>
              <font>
                <color theme="0"/>
              </font>
              <fill>
                <patternFill>
                  <bgColor theme="0"/>
                </patternFill>
              </fill>
              <border>
                <vertical/>
                <horizontal/>
              </border>
            </x14:dxf>
          </x14:cfRule>
          <xm:sqref>M190:R190</xm:sqref>
        </x14:conditionalFormatting>
        <x14:conditionalFormatting xmlns:xm="http://schemas.microsoft.com/office/excel/2006/main">
          <x14:cfRule type="expression" priority="156" id="{66C2E343-3C3F-45C5-9998-4F365A5E1218}">
            <xm:f>$R$8='Assessment Details'!$Q$23</xm:f>
            <x14:dxf>
              <border>
                <left style="thin">
                  <color theme="0"/>
                </left>
                <right style="thin">
                  <color theme="0"/>
                </right>
                <top style="thin">
                  <color theme="0"/>
                </top>
                <bottom style="thin">
                  <color theme="0"/>
                </bottom>
                <vertical/>
                <horizontal/>
              </border>
            </x14:dxf>
          </x14:cfRule>
          <xm:sqref>M190:R190</xm:sqref>
        </x14:conditionalFormatting>
        <x14:conditionalFormatting xmlns:xm="http://schemas.microsoft.com/office/excel/2006/main">
          <x14:cfRule type="expression" priority="155" id="{18E0E177-DB10-4CCD-A6DD-FD5DBC3B9C04}">
            <xm:f>$R$8='Assessment Details'!$Q$23</xm:f>
            <x14:dxf>
              <font>
                <color theme="0"/>
              </font>
              <fill>
                <patternFill>
                  <bgColor theme="0"/>
                </patternFill>
              </fill>
              <border>
                <vertical/>
                <horizontal/>
              </border>
            </x14:dxf>
          </x14:cfRule>
          <xm:sqref>F190</xm:sqref>
        </x14:conditionalFormatting>
        <x14:conditionalFormatting xmlns:xm="http://schemas.microsoft.com/office/excel/2006/main">
          <x14:cfRule type="expression" priority="154" id="{16044C0A-A5C9-418D-A32A-9B5B3A75A31B}">
            <xm:f>$R$8='Assessment Details'!$Q$23</xm:f>
            <x14:dxf>
              <border>
                <left style="thin">
                  <color theme="0"/>
                </left>
                <right style="thin">
                  <color theme="0"/>
                </right>
                <top style="thin">
                  <color theme="0"/>
                </top>
                <bottom style="thin">
                  <color theme="0"/>
                </bottom>
                <vertical/>
                <horizontal/>
              </border>
            </x14:dxf>
          </x14:cfRule>
          <xm:sqref>F190</xm:sqref>
        </x14:conditionalFormatting>
        <x14:conditionalFormatting xmlns:xm="http://schemas.microsoft.com/office/excel/2006/main">
          <x14:cfRule type="expression" priority="153" id="{2CF24D95-D6A8-4ADF-AC6C-7911EAD520DC}">
            <xm:f>$R$8='Assessment Details'!$Q$23</xm:f>
            <x14:dxf>
              <font>
                <color theme="0"/>
              </font>
              <fill>
                <patternFill>
                  <bgColor theme="0"/>
                </patternFill>
              </fill>
              <border>
                <vertical/>
                <horizontal/>
              </border>
            </x14:dxf>
          </x14:cfRule>
          <xm:sqref>T190</xm:sqref>
        </x14:conditionalFormatting>
        <x14:conditionalFormatting xmlns:xm="http://schemas.microsoft.com/office/excel/2006/main">
          <x14:cfRule type="expression" priority="152" id="{FAAED642-554E-45E4-A2BB-A825EAA86F61}">
            <xm:f>$R$8='Assessment Details'!$Q$23</xm:f>
            <x14:dxf>
              <border>
                <left style="thin">
                  <color theme="0"/>
                </left>
                <right style="thin">
                  <color theme="0"/>
                </right>
                <top style="thin">
                  <color theme="0"/>
                </top>
                <bottom style="thin">
                  <color theme="0"/>
                </bottom>
                <vertical/>
                <horizontal/>
              </border>
            </x14:dxf>
          </x14:cfRule>
          <xm:sqref>T190</xm:sqref>
        </x14:conditionalFormatting>
        <x14:conditionalFormatting xmlns:xm="http://schemas.microsoft.com/office/excel/2006/main">
          <x14:cfRule type="expression" priority="151" id="{D4D93F42-D640-4B23-AD37-7880348A1394}">
            <xm:f>$R$8='Assessment Details'!$Q$23</xm:f>
            <x14:dxf>
              <font>
                <color theme="0"/>
              </font>
              <fill>
                <patternFill>
                  <bgColor theme="0"/>
                </patternFill>
              </fill>
              <border>
                <vertical/>
                <horizontal/>
              </border>
            </x14:dxf>
          </x14:cfRule>
          <xm:sqref>V190</xm:sqref>
        </x14:conditionalFormatting>
        <x14:conditionalFormatting xmlns:xm="http://schemas.microsoft.com/office/excel/2006/main">
          <x14:cfRule type="expression" priority="150" id="{BB2B278B-8E0D-4158-AD07-028EBC4D35F8}">
            <xm:f>$R$8='Assessment Details'!$Q$23</xm:f>
            <x14:dxf>
              <border>
                <left style="thin">
                  <color theme="0"/>
                </left>
                <right style="thin">
                  <color theme="0"/>
                </right>
                <top style="thin">
                  <color theme="0"/>
                </top>
                <bottom style="thin">
                  <color theme="0"/>
                </bottom>
                <vertical/>
                <horizontal/>
              </border>
            </x14:dxf>
          </x14:cfRule>
          <xm:sqref>V190</xm:sqref>
        </x14:conditionalFormatting>
        <x14:conditionalFormatting xmlns:xm="http://schemas.microsoft.com/office/excel/2006/main">
          <x14:cfRule type="expression" priority="171" id="{5418D619-AB96-4D2C-8C16-E5050535D56A}">
            <xm:f>$Y$8='Assessment Details'!$Q$23</xm:f>
            <x14:dxf>
              <font>
                <color theme="0"/>
              </font>
              <fill>
                <patternFill>
                  <bgColor theme="0"/>
                </patternFill>
              </fill>
            </x14:dxf>
          </x14:cfRule>
          <xm:sqref>T190:Y190</xm:sqref>
        </x14:conditionalFormatting>
        <x14:conditionalFormatting xmlns:xm="http://schemas.microsoft.com/office/excel/2006/main">
          <x14:cfRule type="expression" priority="172" id="{F9F89006-FC0B-4256-99DF-91FE2392B655}">
            <xm:f>$Y$8='Assessment Details'!$Q$23</xm:f>
            <x14:dxf>
              <border>
                <left style="thin">
                  <color theme="0"/>
                </left>
                <right style="thin">
                  <color theme="0"/>
                </right>
                <top style="thin">
                  <color theme="0"/>
                </top>
                <bottom style="thin">
                  <color theme="0"/>
                </bottom>
                <vertical/>
                <horizontal/>
              </border>
            </x14:dxf>
          </x14:cfRule>
          <xm:sqref>T190:Y190</xm:sqref>
        </x14:conditionalFormatting>
        <x14:conditionalFormatting xmlns:xm="http://schemas.microsoft.com/office/excel/2006/main">
          <x14:cfRule type="expression" priority="146" id="{CFDA2C22-138A-483B-8509-AB534E825605}">
            <xm:f>$R$8='Assessment Details'!$Q$23</xm:f>
            <x14:dxf>
              <font>
                <color theme="0"/>
              </font>
              <fill>
                <patternFill>
                  <bgColor theme="0"/>
                </patternFill>
              </fill>
              <border>
                <vertical/>
                <horizontal/>
              </border>
            </x14:dxf>
          </x14:cfRule>
          <xm:sqref>M209:R209</xm:sqref>
        </x14:conditionalFormatting>
        <x14:conditionalFormatting xmlns:xm="http://schemas.microsoft.com/office/excel/2006/main">
          <x14:cfRule type="expression" priority="145" id="{0B60F656-C5EA-44CE-83A6-B02906BADB7A}">
            <xm:f>$R$8='Assessment Details'!$Q$23</xm:f>
            <x14:dxf>
              <border>
                <left style="thin">
                  <color theme="0"/>
                </left>
                <right style="thin">
                  <color theme="0"/>
                </right>
                <top style="thin">
                  <color theme="0"/>
                </top>
                <bottom style="thin">
                  <color theme="0"/>
                </bottom>
                <vertical/>
                <horizontal/>
              </border>
            </x14:dxf>
          </x14:cfRule>
          <xm:sqref>M209:R209</xm:sqref>
        </x14:conditionalFormatting>
        <x14:conditionalFormatting xmlns:xm="http://schemas.microsoft.com/office/excel/2006/main">
          <x14:cfRule type="expression" priority="148" id="{8DB40213-10E0-4BB8-975A-AF5FE67EBC1E}">
            <xm:f>$Y$8='Assessment Details'!$Q$23</xm:f>
            <x14:dxf>
              <font>
                <color theme="0"/>
              </font>
              <fill>
                <patternFill>
                  <bgColor theme="0"/>
                </patternFill>
              </fill>
            </x14:dxf>
          </x14:cfRule>
          <xm:sqref>T209:Y209</xm:sqref>
        </x14:conditionalFormatting>
        <x14:conditionalFormatting xmlns:xm="http://schemas.microsoft.com/office/excel/2006/main">
          <x14:cfRule type="expression" priority="149" id="{4FA11FC5-2EBF-4443-A1BE-F1DD9B51321A}">
            <xm:f>$Y$8='Assessment Details'!$Q$23</xm:f>
            <x14:dxf>
              <border>
                <left style="thin">
                  <color theme="0"/>
                </left>
                <right style="thin">
                  <color theme="0"/>
                </right>
                <top style="thin">
                  <color theme="0"/>
                </top>
                <bottom style="thin">
                  <color theme="0"/>
                </bottom>
                <vertical/>
                <horizontal/>
              </border>
            </x14:dxf>
          </x14:cfRule>
          <xm:sqref>T209:Y209</xm:sqref>
        </x14:conditionalFormatting>
        <x14:conditionalFormatting xmlns:xm="http://schemas.microsoft.com/office/excel/2006/main">
          <x14:cfRule type="expression" priority="83" id="{B4C9156D-5484-4C85-A329-B50BC81B0CA6}">
            <xm:f>$R$8='Assessment Details'!$Q$23</xm:f>
            <x14:dxf>
              <font>
                <color theme="0"/>
              </font>
              <fill>
                <patternFill>
                  <bgColor theme="0"/>
                </patternFill>
              </fill>
              <border>
                <vertical/>
                <horizontal/>
              </border>
            </x14:dxf>
          </x14:cfRule>
          <xm:sqref>M208:R208</xm:sqref>
        </x14:conditionalFormatting>
        <x14:conditionalFormatting xmlns:xm="http://schemas.microsoft.com/office/excel/2006/main">
          <x14:cfRule type="expression" priority="82" id="{3CCA4A0F-7AEA-4F04-B887-0EED96879A3A}">
            <xm:f>$R$8='Assessment Details'!$Q$23</xm:f>
            <x14:dxf>
              <border>
                <left style="thin">
                  <color theme="0"/>
                </left>
                <right style="thin">
                  <color theme="0"/>
                </right>
                <top style="thin">
                  <color theme="0"/>
                </top>
                <bottom style="thin">
                  <color theme="0"/>
                </bottom>
                <vertical/>
                <horizontal/>
              </border>
            </x14:dxf>
          </x14:cfRule>
          <xm:sqref>M208:R208</xm:sqref>
        </x14:conditionalFormatting>
        <x14:conditionalFormatting xmlns:xm="http://schemas.microsoft.com/office/excel/2006/main">
          <x14:cfRule type="expression" priority="97" id="{703E1FBF-3B26-4E3A-8C8D-EF6DAF2769D1}">
            <xm:f>$Y$8='Assessment Details'!$Q$23</xm:f>
            <x14:dxf>
              <font>
                <color theme="0"/>
              </font>
              <fill>
                <patternFill>
                  <bgColor theme="0"/>
                </patternFill>
              </fill>
            </x14:dxf>
          </x14:cfRule>
          <xm:sqref>T208:Y208</xm:sqref>
        </x14:conditionalFormatting>
        <x14:conditionalFormatting xmlns:xm="http://schemas.microsoft.com/office/excel/2006/main">
          <x14:cfRule type="expression" priority="98" id="{D88F92AB-A965-4BC7-97E8-AF125E66C6FB}">
            <xm:f>$Y$8='Assessment Details'!$Q$23</xm:f>
            <x14:dxf>
              <border>
                <left style="thin">
                  <color theme="0"/>
                </left>
                <right style="thin">
                  <color theme="0"/>
                </right>
                <top style="thin">
                  <color theme="0"/>
                </top>
                <bottom style="thin">
                  <color theme="0"/>
                </bottom>
                <vertical/>
                <horizontal/>
              </border>
            </x14:dxf>
          </x14:cfRule>
          <xm:sqref>T208:Y208</xm:sqref>
        </x14:conditionalFormatting>
        <x14:conditionalFormatting xmlns:xm="http://schemas.microsoft.com/office/excel/2006/main">
          <x14:cfRule type="expression" priority="66" id="{C45035BF-5A91-4958-AE9C-24FEBAB4A100}">
            <xm:f>$R$8='Assessment Details'!$Q$23</xm:f>
            <x14:dxf>
              <font>
                <color theme="0"/>
              </font>
              <fill>
                <patternFill>
                  <bgColor theme="0"/>
                </patternFill>
              </fill>
              <border>
                <vertical/>
                <horizontal/>
              </border>
            </x14:dxf>
          </x14:cfRule>
          <xm:sqref>M207:R207</xm:sqref>
        </x14:conditionalFormatting>
        <x14:conditionalFormatting xmlns:xm="http://schemas.microsoft.com/office/excel/2006/main">
          <x14:cfRule type="expression" priority="65" id="{91867CCB-12BA-46AA-A3BA-FE85BD8D3FFF}">
            <xm:f>$R$8='Assessment Details'!$Q$23</xm:f>
            <x14:dxf>
              <border>
                <left style="thin">
                  <color theme="0"/>
                </left>
                <right style="thin">
                  <color theme="0"/>
                </right>
                <top style="thin">
                  <color theme="0"/>
                </top>
                <bottom style="thin">
                  <color theme="0"/>
                </bottom>
                <vertical/>
                <horizontal/>
              </border>
            </x14:dxf>
          </x14:cfRule>
          <xm:sqref>M207:R207</xm:sqref>
        </x14:conditionalFormatting>
        <x14:conditionalFormatting xmlns:xm="http://schemas.microsoft.com/office/excel/2006/main">
          <x14:cfRule type="expression" priority="64" id="{3EEB2744-C09A-4B21-942E-2E8AFADE296C}">
            <xm:f>$R$8='Assessment Details'!$Q$23</xm:f>
            <x14:dxf>
              <font>
                <color theme="0"/>
              </font>
              <fill>
                <patternFill>
                  <bgColor theme="0"/>
                </patternFill>
              </fill>
              <border>
                <vertical/>
                <horizontal/>
              </border>
            </x14:dxf>
          </x14:cfRule>
          <xm:sqref>F207</xm:sqref>
        </x14:conditionalFormatting>
        <x14:conditionalFormatting xmlns:xm="http://schemas.microsoft.com/office/excel/2006/main">
          <x14:cfRule type="expression" priority="63" id="{9FCDED50-49C0-4E16-9FA5-DE4D7BFDAA9E}">
            <xm:f>$R$8='Assessment Details'!$Q$23</xm:f>
            <x14:dxf>
              <border>
                <left style="thin">
                  <color theme="0"/>
                </left>
                <right style="thin">
                  <color theme="0"/>
                </right>
                <top style="thin">
                  <color theme="0"/>
                </top>
                <bottom style="thin">
                  <color theme="0"/>
                </bottom>
                <vertical/>
                <horizontal/>
              </border>
            </x14:dxf>
          </x14:cfRule>
          <xm:sqref>F207</xm:sqref>
        </x14:conditionalFormatting>
        <x14:conditionalFormatting xmlns:xm="http://schemas.microsoft.com/office/excel/2006/main">
          <x14:cfRule type="expression" priority="62" id="{C76EDFE4-027C-4B51-AA40-A98000EFB61A}">
            <xm:f>$R$8='Assessment Details'!$Q$23</xm:f>
            <x14:dxf>
              <font>
                <color theme="0"/>
              </font>
              <fill>
                <patternFill>
                  <bgColor theme="0"/>
                </patternFill>
              </fill>
              <border>
                <vertical/>
                <horizontal/>
              </border>
            </x14:dxf>
          </x14:cfRule>
          <xm:sqref>T207</xm:sqref>
        </x14:conditionalFormatting>
        <x14:conditionalFormatting xmlns:xm="http://schemas.microsoft.com/office/excel/2006/main">
          <x14:cfRule type="expression" priority="61" id="{2C1A8F4E-C427-4F32-B439-0096900E19B2}">
            <xm:f>$R$8='Assessment Details'!$Q$23</xm:f>
            <x14:dxf>
              <border>
                <left style="thin">
                  <color theme="0"/>
                </left>
                <right style="thin">
                  <color theme="0"/>
                </right>
                <top style="thin">
                  <color theme="0"/>
                </top>
                <bottom style="thin">
                  <color theme="0"/>
                </bottom>
                <vertical/>
                <horizontal/>
              </border>
            </x14:dxf>
          </x14:cfRule>
          <xm:sqref>T207</xm:sqref>
        </x14:conditionalFormatting>
        <x14:conditionalFormatting xmlns:xm="http://schemas.microsoft.com/office/excel/2006/main">
          <x14:cfRule type="expression" priority="60" id="{9821B401-6F4E-41BC-9E66-6179692703F1}">
            <xm:f>$R$8='Assessment Details'!$Q$23</xm:f>
            <x14:dxf>
              <font>
                <color theme="0"/>
              </font>
              <fill>
                <patternFill>
                  <bgColor theme="0"/>
                </patternFill>
              </fill>
              <border>
                <vertical/>
                <horizontal/>
              </border>
            </x14:dxf>
          </x14:cfRule>
          <xm:sqref>V207</xm:sqref>
        </x14:conditionalFormatting>
        <x14:conditionalFormatting xmlns:xm="http://schemas.microsoft.com/office/excel/2006/main">
          <x14:cfRule type="expression" priority="59" id="{A19F9CE4-E873-4015-AF18-A26C21D39185}">
            <xm:f>$R$8='Assessment Details'!$Q$23</xm:f>
            <x14:dxf>
              <border>
                <left style="thin">
                  <color theme="0"/>
                </left>
                <right style="thin">
                  <color theme="0"/>
                </right>
                <top style="thin">
                  <color theme="0"/>
                </top>
                <bottom style="thin">
                  <color theme="0"/>
                </bottom>
                <vertical/>
                <horizontal/>
              </border>
            </x14:dxf>
          </x14:cfRule>
          <xm:sqref>V207</xm:sqref>
        </x14:conditionalFormatting>
        <x14:conditionalFormatting xmlns:xm="http://schemas.microsoft.com/office/excel/2006/main">
          <x14:cfRule type="expression" priority="80" id="{6AE94490-DB72-4C1A-BDB5-1F85B59CCE8C}">
            <xm:f>$Y$8='Assessment Details'!$Q$23</xm:f>
            <x14:dxf>
              <font>
                <color theme="0"/>
              </font>
              <fill>
                <patternFill>
                  <bgColor theme="0"/>
                </patternFill>
              </fill>
            </x14:dxf>
          </x14:cfRule>
          <xm:sqref>T207:Y207</xm:sqref>
        </x14:conditionalFormatting>
        <x14:conditionalFormatting xmlns:xm="http://schemas.microsoft.com/office/excel/2006/main">
          <x14:cfRule type="expression" priority="81" id="{242E11D8-17FB-4ADC-9E13-5E1A900AFD0A}">
            <xm:f>$Y$8='Assessment Details'!$Q$23</xm:f>
            <x14:dxf>
              <border>
                <left style="thin">
                  <color theme="0"/>
                </left>
                <right style="thin">
                  <color theme="0"/>
                </right>
                <top style="thin">
                  <color theme="0"/>
                </top>
                <bottom style="thin">
                  <color theme="0"/>
                </bottom>
                <vertical/>
                <horizontal/>
              </border>
            </x14:dxf>
          </x14:cfRule>
          <xm:sqref>T207:Y207</xm:sqref>
        </x14:conditionalFormatting>
        <x14:conditionalFormatting xmlns:xm="http://schemas.microsoft.com/office/excel/2006/main">
          <x14:cfRule type="expression" priority="43" id="{18C17D5F-FF52-4287-B3D6-A093652692AB}">
            <xm:f>$R$8='Assessment Details'!$Q$23</xm:f>
            <x14:dxf>
              <font>
                <color theme="0"/>
              </font>
              <fill>
                <patternFill>
                  <bgColor theme="0"/>
                </patternFill>
              </fill>
              <border>
                <vertical/>
                <horizontal/>
              </border>
            </x14:dxf>
          </x14:cfRule>
          <xm:sqref>M224:R224</xm:sqref>
        </x14:conditionalFormatting>
        <x14:conditionalFormatting xmlns:xm="http://schemas.microsoft.com/office/excel/2006/main">
          <x14:cfRule type="expression" priority="42" id="{5FFEFA1A-7C4A-4F4E-941D-8B78E972BCF0}">
            <xm:f>$R$8='Assessment Details'!$Q$23</xm:f>
            <x14:dxf>
              <border>
                <left style="thin">
                  <color theme="0"/>
                </left>
                <right style="thin">
                  <color theme="0"/>
                </right>
                <top style="thin">
                  <color theme="0"/>
                </top>
                <bottom style="thin">
                  <color theme="0"/>
                </bottom>
                <vertical/>
                <horizontal/>
              </border>
            </x14:dxf>
          </x14:cfRule>
          <xm:sqref>M224:R224</xm:sqref>
        </x14:conditionalFormatting>
        <x14:conditionalFormatting xmlns:xm="http://schemas.microsoft.com/office/excel/2006/main">
          <x14:cfRule type="expression" priority="41" id="{E345E5F1-5990-47E9-9094-B1CBC3834D9D}">
            <xm:f>$R$8='Assessment Details'!$Q$23</xm:f>
            <x14:dxf>
              <font>
                <color theme="0"/>
              </font>
              <fill>
                <patternFill>
                  <bgColor theme="0"/>
                </patternFill>
              </fill>
              <border>
                <vertical/>
                <horizontal/>
              </border>
            </x14:dxf>
          </x14:cfRule>
          <xm:sqref>F224</xm:sqref>
        </x14:conditionalFormatting>
        <x14:conditionalFormatting xmlns:xm="http://schemas.microsoft.com/office/excel/2006/main">
          <x14:cfRule type="expression" priority="40" id="{C0C8BA82-EC28-421A-8056-5C2BF2356772}">
            <xm:f>$R$8='Assessment Details'!$Q$23</xm:f>
            <x14:dxf>
              <border>
                <left style="thin">
                  <color theme="0"/>
                </left>
                <right style="thin">
                  <color theme="0"/>
                </right>
                <top style="thin">
                  <color theme="0"/>
                </top>
                <bottom style="thin">
                  <color theme="0"/>
                </bottom>
                <vertical/>
                <horizontal/>
              </border>
            </x14:dxf>
          </x14:cfRule>
          <xm:sqref>F224</xm:sqref>
        </x14:conditionalFormatting>
        <x14:conditionalFormatting xmlns:xm="http://schemas.microsoft.com/office/excel/2006/main">
          <x14:cfRule type="expression" priority="39" id="{F56C039B-D71B-4643-8343-CFB7E58C594E}">
            <xm:f>$R$8='Assessment Details'!$Q$23</xm:f>
            <x14:dxf>
              <font>
                <color theme="0"/>
              </font>
              <fill>
                <patternFill>
                  <bgColor theme="0"/>
                </patternFill>
              </fill>
              <border>
                <vertical/>
                <horizontal/>
              </border>
            </x14:dxf>
          </x14:cfRule>
          <xm:sqref>T224</xm:sqref>
        </x14:conditionalFormatting>
        <x14:conditionalFormatting xmlns:xm="http://schemas.microsoft.com/office/excel/2006/main">
          <x14:cfRule type="expression" priority="38" id="{C647A0D1-E5B7-4612-B088-B17331BD2DDA}">
            <xm:f>$R$8='Assessment Details'!$Q$23</xm:f>
            <x14:dxf>
              <border>
                <left style="thin">
                  <color theme="0"/>
                </left>
                <right style="thin">
                  <color theme="0"/>
                </right>
                <top style="thin">
                  <color theme="0"/>
                </top>
                <bottom style="thin">
                  <color theme="0"/>
                </bottom>
                <vertical/>
                <horizontal/>
              </border>
            </x14:dxf>
          </x14:cfRule>
          <xm:sqref>T224</xm:sqref>
        </x14:conditionalFormatting>
        <x14:conditionalFormatting xmlns:xm="http://schemas.microsoft.com/office/excel/2006/main">
          <x14:cfRule type="expression" priority="37" id="{532D191F-20C9-4562-84C9-B215C7AAC46D}">
            <xm:f>$R$8='Assessment Details'!$Q$23</xm:f>
            <x14:dxf>
              <font>
                <color theme="0"/>
              </font>
              <fill>
                <patternFill>
                  <bgColor theme="0"/>
                </patternFill>
              </fill>
              <border>
                <vertical/>
                <horizontal/>
              </border>
            </x14:dxf>
          </x14:cfRule>
          <xm:sqref>V224</xm:sqref>
        </x14:conditionalFormatting>
        <x14:conditionalFormatting xmlns:xm="http://schemas.microsoft.com/office/excel/2006/main">
          <x14:cfRule type="expression" priority="36" id="{61E96BA4-C5A4-4BD5-9314-CBA069311D17}">
            <xm:f>$R$8='Assessment Details'!$Q$23</xm:f>
            <x14:dxf>
              <border>
                <left style="thin">
                  <color theme="0"/>
                </left>
                <right style="thin">
                  <color theme="0"/>
                </right>
                <top style="thin">
                  <color theme="0"/>
                </top>
                <bottom style="thin">
                  <color theme="0"/>
                </bottom>
                <vertical/>
                <horizontal/>
              </border>
            </x14:dxf>
          </x14:cfRule>
          <xm:sqref>V224</xm:sqref>
        </x14:conditionalFormatting>
        <x14:conditionalFormatting xmlns:xm="http://schemas.microsoft.com/office/excel/2006/main">
          <x14:cfRule type="expression" priority="57" id="{88E3CCDA-6851-41A4-A36B-FA6D410CC159}">
            <xm:f>$Y$8='Assessment Details'!$Q$23</xm:f>
            <x14:dxf>
              <font>
                <color theme="0"/>
              </font>
              <fill>
                <patternFill>
                  <bgColor theme="0"/>
                </patternFill>
              </fill>
            </x14:dxf>
          </x14:cfRule>
          <xm:sqref>T224:Y224</xm:sqref>
        </x14:conditionalFormatting>
        <x14:conditionalFormatting xmlns:xm="http://schemas.microsoft.com/office/excel/2006/main">
          <x14:cfRule type="expression" priority="58" id="{ACEA0EB4-80FF-4A37-B49A-5696F3E0E508}">
            <xm:f>$Y$8='Assessment Details'!$Q$23</xm:f>
            <x14:dxf>
              <border>
                <left style="thin">
                  <color theme="0"/>
                </left>
                <right style="thin">
                  <color theme="0"/>
                </right>
                <top style="thin">
                  <color theme="0"/>
                </top>
                <bottom style="thin">
                  <color theme="0"/>
                </bottom>
                <vertical/>
                <horizontal/>
              </border>
            </x14:dxf>
          </x14:cfRule>
          <xm:sqref>T224:Y224</xm:sqref>
        </x14:conditionalFormatting>
        <x14:conditionalFormatting xmlns:xm="http://schemas.microsoft.com/office/excel/2006/main">
          <x14:cfRule type="expression" priority="20" id="{61E5B49C-C46C-4760-8775-D17375A6EA64}">
            <xm:f>$R$8='Assessment Details'!$Q$23</xm:f>
            <x14:dxf>
              <font>
                <color theme="0"/>
              </font>
              <fill>
                <patternFill>
                  <bgColor theme="0"/>
                </patternFill>
              </fill>
              <border>
                <vertical/>
                <horizontal/>
              </border>
            </x14:dxf>
          </x14:cfRule>
          <xm:sqref>M70:R70</xm:sqref>
        </x14:conditionalFormatting>
        <x14:conditionalFormatting xmlns:xm="http://schemas.microsoft.com/office/excel/2006/main">
          <x14:cfRule type="expression" priority="19" id="{810E491B-9AFD-4625-8A42-75C5974430CC}">
            <xm:f>$R$8='Assessment Details'!$Q$23</xm:f>
            <x14:dxf>
              <border>
                <left style="thin">
                  <color theme="0"/>
                </left>
                <right style="thin">
                  <color theme="0"/>
                </right>
                <top style="thin">
                  <color theme="0"/>
                </top>
                <bottom style="thin">
                  <color theme="0"/>
                </bottom>
                <vertical/>
                <horizontal/>
              </border>
            </x14:dxf>
          </x14:cfRule>
          <xm:sqref>M70:R70</xm:sqref>
        </x14:conditionalFormatting>
        <x14:conditionalFormatting xmlns:xm="http://schemas.microsoft.com/office/excel/2006/main">
          <x14:cfRule type="expression" priority="18" id="{5B0F2C05-53AF-48BB-9D2E-E6F641488715}">
            <xm:f>$R$8='Assessment Details'!$Q$23</xm:f>
            <x14:dxf>
              <font>
                <color theme="0"/>
              </font>
              <fill>
                <patternFill>
                  <bgColor theme="0"/>
                </patternFill>
              </fill>
              <border>
                <vertical/>
                <horizontal/>
              </border>
            </x14:dxf>
          </x14:cfRule>
          <xm:sqref>F70</xm:sqref>
        </x14:conditionalFormatting>
        <x14:conditionalFormatting xmlns:xm="http://schemas.microsoft.com/office/excel/2006/main">
          <x14:cfRule type="expression" priority="17" id="{C1694F0A-0CC1-4742-8E15-EEE575936C27}">
            <xm:f>$R$8='Assessment Details'!$Q$23</xm:f>
            <x14:dxf>
              <border>
                <left style="thin">
                  <color theme="0"/>
                </left>
                <right style="thin">
                  <color theme="0"/>
                </right>
                <top style="thin">
                  <color theme="0"/>
                </top>
                <bottom style="thin">
                  <color theme="0"/>
                </bottom>
                <vertical/>
                <horizontal/>
              </border>
            </x14:dxf>
          </x14:cfRule>
          <xm:sqref>F70</xm:sqref>
        </x14:conditionalFormatting>
        <x14:conditionalFormatting xmlns:xm="http://schemas.microsoft.com/office/excel/2006/main">
          <x14:cfRule type="expression" priority="16" id="{02F370AE-CBFD-4FEB-9312-E8C5A92CFC2D}">
            <xm:f>$R$8='Assessment Details'!$Q$23</xm:f>
            <x14:dxf>
              <font>
                <color theme="0"/>
              </font>
              <fill>
                <patternFill>
                  <bgColor theme="0"/>
                </patternFill>
              </fill>
              <border>
                <vertical/>
                <horizontal/>
              </border>
            </x14:dxf>
          </x14:cfRule>
          <xm:sqref>T70</xm:sqref>
        </x14:conditionalFormatting>
        <x14:conditionalFormatting xmlns:xm="http://schemas.microsoft.com/office/excel/2006/main">
          <x14:cfRule type="expression" priority="15" id="{EFC855BF-B4F0-4B7D-A024-24715073EEDB}">
            <xm:f>$R$8='Assessment Details'!$Q$23</xm:f>
            <x14:dxf>
              <border>
                <left style="thin">
                  <color theme="0"/>
                </left>
                <right style="thin">
                  <color theme="0"/>
                </right>
                <top style="thin">
                  <color theme="0"/>
                </top>
                <bottom style="thin">
                  <color theme="0"/>
                </bottom>
                <vertical/>
                <horizontal/>
              </border>
            </x14:dxf>
          </x14:cfRule>
          <xm:sqref>T70</xm:sqref>
        </x14:conditionalFormatting>
        <x14:conditionalFormatting xmlns:xm="http://schemas.microsoft.com/office/excel/2006/main">
          <x14:cfRule type="expression" priority="10" id="{D93F5BD6-5BC2-4F57-9A8A-0E7FA7B1454F}">
            <xm:f>$R$8='Assessment Details'!$Q$23</xm:f>
            <x14:dxf>
              <font>
                <color theme="0"/>
              </font>
              <fill>
                <patternFill>
                  <bgColor theme="0"/>
                </patternFill>
              </fill>
              <border>
                <vertical/>
                <horizontal/>
              </border>
            </x14:dxf>
          </x14:cfRule>
          <xm:sqref>M70</xm:sqref>
        </x14:conditionalFormatting>
        <x14:conditionalFormatting xmlns:xm="http://schemas.microsoft.com/office/excel/2006/main">
          <x14:cfRule type="expression" priority="9" id="{98AFAECC-EFCA-441C-BBD5-D37816746FD2}">
            <xm:f>$R$8='Assessment Details'!$Q$23</xm:f>
            <x14:dxf>
              <border>
                <left style="thin">
                  <color theme="0"/>
                </left>
                <right style="thin">
                  <color theme="0"/>
                </right>
                <top style="thin">
                  <color theme="0"/>
                </top>
                <bottom style="thin">
                  <color theme="0"/>
                </bottom>
                <vertical/>
                <horizontal/>
              </border>
            </x14:dxf>
          </x14:cfRule>
          <xm:sqref>M70</xm:sqref>
        </x14:conditionalFormatting>
        <x14:conditionalFormatting xmlns:xm="http://schemas.microsoft.com/office/excel/2006/main">
          <x14:cfRule type="expression" priority="4" id="{868D452A-ED94-400D-A800-C21137A74F90}">
            <xm:f>$R$8='Assessment Details'!$Q$23</xm:f>
            <x14:dxf>
              <font>
                <color theme="0"/>
              </font>
              <fill>
                <patternFill>
                  <bgColor theme="0"/>
                </patternFill>
              </fill>
              <border>
                <vertical/>
                <horizontal/>
              </border>
            </x14:dxf>
          </x14:cfRule>
          <xm:sqref>T70</xm:sqref>
        </x14:conditionalFormatting>
        <x14:conditionalFormatting xmlns:xm="http://schemas.microsoft.com/office/excel/2006/main">
          <x14:cfRule type="expression" priority="3" id="{8809E55D-95BE-49EB-AA0B-AB6AD3A6F62A}">
            <xm:f>$R$8='Assessment Details'!$Q$23</xm:f>
            <x14:dxf>
              <border>
                <left style="thin">
                  <color theme="0"/>
                </left>
                <right style="thin">
                  <color theme="0"/>
                </right>
                <top style="thin">
                  <color theme="0"/>
                </top>
                <bottom style="thin">
                  <color theme="0"/>
                </bottom>
                <vertical/>
                <horizontal/>
              </border>
            </x14:dxf>
          </x14:cfRule>
          <xm:sqref>T70</xm:sqref>
        </x14:conditionalFormatting>
        <x14:conditionalFormatting xmlns:xm="http://schemas.microsoft.com/office/excel/2006/main">
          <x14:cfRule type="expression" priority="2" id="{B5218ADE-A98F-4552-9954-EA67E83613FD}">
            <xm:f>$R$8='Assessment Details'!$Q$23</xm:f>
            <x14:dxf>
              <font>
                <color theme="0"/>
              </font>
              <fill>
                <patternFill>
                  <bgColor theme="0"/>
                </patternFill>
              </fill>
              <border>
                <vertical/>
                <horizontal/>
              </border>
            </x14:dxf>
          </x14:cfRule>
          <xm:sqref>V70</xm:sqref>
        </x14:conditionalFormatting>
        <x14:conditionalFormatting xmlns:xm="http://schemas.microsoft.com/office/excel/2006/main">
          <x14:cfRule type="expression" priority="1" id="{9FEFE862-D675-46E4-A129-73376942EEBA}">
            <xm:f>$R$8='Assessment Details'!$Q$23</xm:f>
            <x14:dxf>
              <border>
                <left style="thin">
                  <color theme="0"/>
                </left>
                <right style="thin">
                  <color theme="0"/>
                </right>
                <top style="thin">
                  <color theme="0"/>
                </top>
                <bottom style="thin">
                  <color theme="0"/>
                </bottom>
                <vertical/>
                <horizontal/>
              </border>
            </x14:dxf>
          </x14:cfRule>
          <xm:sqref>V70</xm:sqref>
        </x14:conditionalFormatting>
        <x14:conditionalFormatting xmlns:xm="http://schemas.microsoft.com/office/excel/2006/main">
          <x14:cfRule type="expression" priority="34" id="{68BA5C6D-93A4-482B-B2DC-A71E804CCA45}">
            <xm:f>$Y$8='Assessment Details'!$Q$23</xm:f>
            <x14:dxf>
              <font>
                <color theme="0"/>
              </font>
              <fill>
                <patternFill>
                  <bgColor theme="0"/>
                </patternFill>
              </fill>
            </x14:dxf>
          </x14:cfRule>
          <xm:sqref>T70:Y70</xm:sqref>
        </x14:conditionalFormatting>
        <x14:conditionalFormatting xmlns:xm="http://schemas.microsoft.com/office/excel/2006/main">
          <x14:cfRule type="expression" priority="35" id="{691F0192-A9D9-45B0-9594-40F8E75AB3A5}">
            <xm:f>$Y$8='Assessment Details'!$Q$23</xm:f>
            <x14:dxf>
              <border>
                <left style="thin">
                  <color theme="0"/>
                </left>
                <right style="thin">
                  <color theme="0"/>
                </right>
                <top style="thin">
                  <color theme="0"/>
                </top>
                <bottom style="thin">
                  <color theme="0"/>
                </bottom>
                <vertical/>
                <horizontal/>
              </border>
            </x14:dxf>
          </x14:cfRule>
          <xm:sqref>T70:Y70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R73"/>
  <sheetViews>
    <sheetView zoomScaleNormal="100" workbookViewId="0">
      <selection activeCell="T6" sqref="T6"/>
    </sheetView>
  </sheetViews>
  <sheetFormatPr defaultColWidth="9.140625" defaultRowHeight="15" x14ac:dyDescent="0.25"/>
  <cols>
    <col min="1" max="1" width="2.7109375" style="1" customWidth="1"/>
    <col min="2" max="2" width="17" style="1" bestFit="1" customWidth="1"/>
    <col min="3" max="3" width="15.85546875" style="1" customWidth="1"/>
    <col min="4" max="16" width="9.140625" style="1"/>
    <col min="17" max="17" width="3.140625" style="1" customWidth="1"/>
    <col min="18" max="16384" width="9.140625" style="1"/>
  </cols>
  <sheetData>
    <row r="1" spans="1:18" ht="15" customHeight="1" thickBot="1" x14ac:dyDescent="0.3">
      <c r="B1" s="1357"/>
      <c r="C1" s="1358"/>
      <c r="D1" s="1358"/>
      <c r="E1" s="1358"/>
      <c r="F1" s="1358"/>
      <c r="G1" s="1358"/>
      <c r="H1" s="1358"/>
      <c r="I1" s="1358"/>
      <c r="J1" s="1358"/>
      <c r="K1" s="1358"/>
      <c r="L1" s="1358"/>
    </row>
    <row r="2" spans="1:18" ht="42" customHeight="1" x14ac:dyDescent="0.35">
      <c r="B2" s="1364" t="s">
        <v>975</v>
      </c>
      <c r="C2" s="1365"/>
      <c r="D2" s="1365"/>
      <c r="E2" s="1365"/>
      <c r="F2" s="1365"/>
      <c r="G2" s="1365"/>
      <c r="H2" s="1365"/>
      <c r="I2" s="1365"/>
      <c r="J2" s="1365"/>
      <c r="K2" s="1365"/>
      <c r="L2" s="1365"/>
      <c r="M2" s="595"/>
      <c r="N2" s="596"/>
      <c r="O2" s="596"/>
      <c r="P2" s="642" t="str">
        <f>IF('Manuell filtrering og justering'!I2='Manuell filtrering og justering'!J2,"Bespoke","")</f>
        <v/>
      </c>
    </row>
    <row r="3" spans="1:18" ht="15" customHeight="1" x14ac:dyDescent="0.25">
      <c r="B3" s="597"/>
      <c r="C3" s="598"/>
      <c r="D3" s="598"/>
      <c r="E3" s="598"/>
      <c r="F3" s="598"/>
      <c r="G3" s="598"/>
      <c r="H3" s="598"/>
      <c r="I3" s="598"/>
      <c r="J3" s="598"/>
      <c r="K3" s="598"/>
      <c r="L3" s="598"/>
      <c r="M3" s="3"/>
      <c r="N3" s="3"/>
      <c r="O3" s="3"/>
      <c r="P3" s="599"/>
    </row>
    <row r="4" spans="1:18" ht="15" customHeight="1" x14ac:dyDescent="0.25">
      <c r="B4" s="600" t="s">
        <v>2</v>
      </c>
      <c r="C4" s="600" t="s">
        <v>6</v>
      </c>
      <c r="D4" s="1366" t="s">
        <v>7</v>
      </c>
      <c r="E4" s="1367"/>
      <c r="F4" s="1367"/>
      <c r="G4" s="1367"/>
      <c r="H4" s="1367"/>
      <c r="I4" s="1367"/>
      <c r="J4" s="1367"/>
      <c r="K4" s="1367"/>
      <c r="L4" s="1367"/>
      <c r="M4" s="1367"/>
      <c r="N4" s="1367"/>
      <c r="O4" s="1367"/>
      <c r="P4" s="1368"/>
    </row>
    <row r="5" spans="1:18" ht="88.5" customHeight="1" x14ac:dyDescent="0.25">
      <c r="B5" s="614" t="s">
        <v>1054</v>
      </c>
      <c r="C5" s="602">
        <v>44673</v>
      </c>
      <c r="D5" s="1361" t="s">
        <v>1055</v>
      </c>
      <c r="E5" s="1362"/>
      <c r="F5" s="1362"/>
      <c r="G5" s="1362"/>
      <c r="H5" s="1362"/>
      <c r="I5" s="1362"/>
      <c r="J5" s="1362"/>
      <c r="K5" s="1362"/>
      <c r="L5" s="1362"/>
      <c r="M5" s="1362"/>
      <c r="N5" s="1362"/>
      <c r="O5" s="1362"/>
      <c r="P5" s="1362"/>
    </row>
    <row r="6" spans="1:18" ht="18.75" customHeight="1" x14ac:dyDescent="0.25">
      <c r="A6" s="3"/>
      <c r="B6" s="603"/>
      <c r="C6" s="604"/>
      <c r="D6" s="605"/>
      <c r="E6" s="605"/>
      <c r="F6" s="605"/>
      <c r="G6" s="605"/>
      <c r="H6" s="605"/>
      <c r="I6" s="605"/>
      <c r="J6" s="605"/>
      <c r="K6" s="605"/>
      <c r="L6" s="605"/>
      <c r="M6" s="605"/>
      <c r="N6" s="606"/>
      <c r="O6" s="606"/>
      <c r="P6" s="606"/>
      <c r="Q6" s="3"/>
      <c r="R6" s="3"/>
    </row>
    <row r="7" spans="1:18" x14ac:dyDescent="0.25">
      <c r="B7" s="607" t="s">
        <v>3</v>
      </c>
      <c r="C7" s="608" t="s">
        <v>6</v>
      </c>
      <c r="D7" s="609" t="s">
        <v>7</v>
      </c>
      <c r="E7" s="610"/>
      <c r="F7" s="610"/>
      <c r="G7" s="610"/>
      <c r="H7" s="610"/>
      <c r="I7" s="610"/>
      <c r="J7" s="610"/>
      <c r="K7" s="610"/>
      <c r="L7" s="610"/>
      <c r="M7" s="610"/>
      <c r="N7" s="610"/>
      <c r="O7" s="610"/>
      <c r="P7" s="611"/>
    </row>
    <row r="8" spans="1:18" ht="101.25" customHeight="1" x14ac:dyDescent="0.25">
      <c r="B8" s="614" t="s">
        <v>1052</v>
      </c>
      <c r="C8" s="602">
        <v>44635</v>
      </c>
      <c r="D8" s="1362" t="s">
        <v>1053</v>
      </c>
      <c r="E8" s="1362"/>
      <c r="F8" s="1362"/>
      <c r="G8" s="1362"/>
      <c r="H8" s="1362"/>
      <c r="I8" s="1362"/>
      <c r="J8" s="1362"/>
      <c r="K8" s="1362"/>
      <c r="L8" s="1362"/>
      <c r="M8" s="1362"/>
      <c r="N8" s="1362"/>
      <c r="O8" s="1362"/>
      <c r="P8" s="1362"/>
    </row>
    <row r="9" spans="1:18" x14ac:dyDescent="0.25">
      <c r="B9" s="614" t="s">
        <v>1034</v>
      </c>
      <c r="C9" s="602">
        <v>44620</v>
      </c>
      <c r="D9" s="1362" t="s">
        <v>1018</v>
      </c>
      <c r="E9" s="1362"/>
      <c r="F9" s="1362"/>
      <c r="G9" s="1362"/>
      <c r="H9" s="1362"/>
      <c r="I9" s="1362"/>
      <c r="J9" s="1362"/>
      <c r="K9" s="1362"/>
      <c r="L9" s="1362"/>
      <c r="M9" s="1362"/>
      <c r="N9" s="1362"/>
      <c r="O9" s="1362"/>
      <c r="P9" s="1362"/>
    </row>
    <row r="10" spans="1:18" x14ac:dyDescent="0.25">
      <c r="B10" s="601"/>
      <c r="C10" s="602"/>
      <c r="D10" s="1362"/>
      <c r="E10" s="1362"/>
      <c r="F10" s="1362"/>
      <c r="G10" s="1362"/>
      <c r="H10" s="1362"/>
      <c r="I10" s="1362"/>
      <c r="J10" s="1362"/>
      <c r="K10" s="1362"/>
      <c r="L10" s="1362"/>
      <c r="M10" s="1362"/>
      <c r="N10" s="1362"/>
      <c r="O10" s="1362"/>
      <c r="P10" s="1362"/>
    </row>
    <row r="11" spans="1:18" x14ac:dyDescent="0.25">
      <c r="B11" s="612"/>
      <c r="C11" s="613"/>
      <c r="D11" s="1354"/>
      <c r="E11" s="1355"/>
      <c r="F11" s="1355"/>
      <c r="G11" s="1355"/>
      <c r="H11" s="1355"/>
      <c r="I11" s="1355"/>
      <c r="J11" s="1355"/>
      <c r="K11" s="1355"/>
      <c r="L11" s="1355"/>
      <c r="M11" s="1355"/>
      <c r="N11" s="1355"/>
      <c r="O11" s="1355"/>
      <c r="P11" s="1355"/>
    </row>
    <row r="12" spans="1:18" x14ac:dyDescent="0.25">
      <c r="B12" s="614"/>
      <c r="C12" s="602"/>
      <c r="D12" s="1363"/>
      <c r="E12" s="1363"/>
      <c r="F12" s="1363"/>
      <c r="G12" s="1363"/>
      <c r="H12" s="1363"/>
      <c r="I12" s="1363"/>
      <c r="J12" s="1363"/>
      <c r="K12" s="1363"/>
      <c r="L12" s="1363"/>
      <c r="M12" s="1363"/>
      <c r="N12" s="1363"/>
      <c r="O12" s="1363"/>
      <c r="P12" s="1363"/>
    </row>
    <row r="13" spans="1:18" x14ac:dyDescent="0.25">
      <c r="B13" s="614"/>
      <c r="C13" s="602"/>
      <c r="D13" s="1359"/>
      <c r="E13" s="1360"/>
      <c r="F13" s="1360"/>
      <c r="G13" s="1360"/>
      <c r="H13" s="1360"/>
      <c r="I13" s="1360"/>
      <c r="J13" s="1360"/>
      <c r="K13" s="1360"/>
      <c r="L13" s="1360"/>
      <c r="M13" s="1360"/>
      <c r="N13" s="1360"/>
      <c r="O13" s="1360"/>
      <c r="P13" s="1360"/>
    </row>
    <row r="14" spans="1:18" x14ac:dyDescent="0.25">
      <c r="B14" s="612"/>
      <c r="C14" s="613"/>
      <c r="D14" s="1356"/>
      <c r="E14" s="1355"/>
      <c r="F14" s="1355"/>
      <c r="G14" s="1355"/>
      <c r="H14" s="1355"/>
      <c r="I14" s="1355"/>
      <c r="J14" s="1355"/>
      <c r="K14" s="1355"/>
      <c r="L14" s="1355"/>
      <c r="M14" s="1355"/>
      <c r="N14" s="1355"/>
      <c r="O14" s="1355"/>
      <c r="P14" s="1355"/>
    </row>
    <row r="15" spans="1:18" x14ac:dyDescent="0.25">
      <c r="B15" s="612"/>
      <c r="C15" s="613"/>
      <c r="D15" s="1356"/>
      <c r="E15" s="1355"/>
      <c r="F15" s="1355"/>
      <c r="G15" s="1355"/>
      <c r="H15" s="1355"/>
      <c r="I15" s="1355"/>
      <c r="J15" s="1355"/>
      <c r="K15" s="1355"/>
      <c r="L15" s="1355"/>
      <c r="M15" s="1355"/>
      <c r="N15" s="1355"/>
      <c r="O15" s="1355"/>
      <c r="P15" s="1355"/>
    </row>
    <row r="16" spans="1:18" x14ac:dyDescent="0.25">
      <c r="B16" s="612"/>
      <c r="C16" s="613"/>
      <c r="D16" s="1354"/>
      <c r="E16" s="1355"/>
      <c r="F16" s="1355"/>
      <c r="G16" s="1355"/>
      <c r="H16" s="1355"/>
      <c r="I16" s="1355"/>
      <c r="J16" s="1355"/>
      <c r="K16" s="1355"/>
      <c r="L16" s="1355"/>
      <c r="M16" s="1355"/>
      <c r="N16" s="1355"/>
      <c r="O16" s="1355"/>
      <c r="P16" s="1355"/>
    </row>
    <row r="17" spans="2:16" ht="13.5" customHeight="1" x14ac:dyDescent="0.25">
      <c r="B17" s="612"/>
      <c r="C17" s="613"/>
      <c r="D17" s="1354"/>
      <c r="E17" s="1355"/>
      <c r="F17" s="1355"/>
      <c r="G17" s="1355"/>
      <c r="H17" s="1355"/>
      <c r="I17" s="1355"/>
      <c r="J17" s="1355"/>
      <c r="K17" s="1355"/>
      <c r="L17" s="1355"/>
      <c r="M17" s="1355"/>
      <c r="N17" s="1355"/>
      <c r="O17" s="1355"/>
      <c r="P17" s="1355"/>
    </row>
    <row r="18" spans="2:16" x14ac:dyDescent="0.25">
      <c r="B18" s="612"/>
      <c r="C18" s="613"/>
      <c r="D18" s="1354"/>
      <c r="E18" s="1355"/>
      <c r="F18" s="1355"/>
      <c r="G18" s="1355"/>
      <c r="H18" s="1355"/>
      <c r="I18" s="1355"/>
      <c r="J18" s="1355"/>
      <c r="K18" s="1355"/>
      <c r="L18" s="1355"/>
      <c r="M18" s="1355"/>
      <c r="N18" s="1355"/>
      <c r="O18" s="1355"/>
      <c r="P18" s="1355"/>
    </row>
    <row r="19" spans="2:16" x14ac:dyDescent="0.25">
      <c r="B19" s="615"/>
      <c r="C19" s="615"/>
      <c r="D19" s="615"/>
      <c r="E19" s="615"/>
      <c r="F19" s="615"/>
      <c r="G19" s="615"/>
      <c r="H19" s="615"/>
      <c r="I19" s="615"/>
      <c r="J19" s="615"/>
      <c r="K19" s="615"/>
      <c r="L19" s="615"/>
      <c r="M19" s="615"/>
      <c r="N19" s="615"/>
      <c r="O19" s="615"/>
      <c r="P19" s="615"/>
    </row>
    <row r="20" spans="2:16" x14ac:dyDescent="0.25">
      <c r="B20" s="615"/>
      <c r="C20" s="615"/>
      <c r="D20" s="615"/>
      <c r="E20" s="615"/>
      <c r="F20" s="615"/>
      <c r="G20" s="615"/>
      <c r="H20" s="615"/>
      <c r="I20" s="615"/>
      <c r="J20" s="615"/>
      <c r="K20" s="615"/>
      <c r="L20" s="615"/>
      <c r="M20" s="615"/>
      <c r="N20" s="615"/>
      <c r="O20" s="615"/>
      <c r="P20" s="615"/>
    </row>
    <row r="21" spans="2:16" x14ac:dyDescent="0.25">
      <c r="B21" s="615"/>
      <c r="C21" s="615"/>
      <c r="D21" s="615"/>
      <c r="E21" s="615"/>
      <c r="F21" s="615"/>
      <c r="G21" s="615"/>
      <c r="H21" s="615"/>
      <c r="I21" s="615"/>
      <c r="J21" s="615"/>
      <c r="K21" s="615"/>
      <c r="L21" s="615"/>
      <c r="M21" s="615"/>
      <c r="N21" s="615"/>
      <c r="O21" s="615"/>
      <c r="P21" s="615"/>
    </row>
    <row r="22" spans="2:16" x14ac:dyDescent="0.25">
      <c r="B22" s="615"/>
      <c r="C22" s="615"/>
      <c r="D22" s="615"/>
      <c r="E22" s="615"/>
      <c r="F22" s="615"/>
      <c r="G22" s="615"/>
      <c r="H22" s="615"/>
      <c r="I22" s="615"/>
      <c r="J22" s="615"/>
      <c r="K22" s="615"/>
      <c r="L22" s="615"/>
      <c r="M22" s="615"/>
      <c r="N22" s="615"/>
      <c r="O22" s="615"/>
      <c r="P22" s="615"/>
    </row>
    <row r="23" spans="2:16" x14ac:dyDescent="0.25">
      <c r="B23" s="615"/>
      <c r="C23" s="615"/>
      <c r="D23" s="615"/>
      <c r="E23" s="615"/>
      <c r="F23" s="615"/>
      <c r="G23" s="615"/>
      <c r="H23" s="615"/>
      <c r="I23" s="615"/>
      <c r="J23" s="615"/>
      <c r="K23" s="615"/>
      <c r="L23" s="615"/>
      <c r="M23" s="615"/>
      <c r="N23" s="615"/>
      <c r="O23" s="615"/>
      <c r="P23" s="615"/>
    </row>
    <row r="24" spans="2:16" x14ac:dyDescent="0.25">
      <c r="B24" s="615"/>
      <c r="C24" s="615"/>
      <c r="D24" s="615"/>
      <c r="E24" s="615"/>
      <c r="F24" s="615"/>
      <c r="G24" s="615"/>
      <c r="H24" s="615"/>
      <c r="I24" s="615"/>
      <c r="J24" s="615"/>
      <c r="K24" s="615"/>
      <c r="L24" s="615"/>
      <c r="M24" s="615"/>
      <c r="N24" s="615"/>
      <c r="O24" s="615"/>
      <c r="P24" s="615"/>
    </row>
    <row r="25" spans="2:16" x14ac:dyDescent="0.25">
      <c r="B25" s="615"/>
      <c r="C25" s="615"/>
      <c r="D25" s="615"/>
      <c r="E25" s="615"/>
      <c r="F25" s="615"/>
      <c r="G25" s="615"/>
      <c r="H25" s="615"/>
      <c r="I25" s="615"/>
      <c r="J25" s="615"/>
      <c r="K25" s="615"/>
      <c r="L25" s="615"/>
      <c r="M25" s="615"/>
      <c r="N25" s="615"/>
      <c r="O25" s="615"/>
      <c r="P25" s="615"/>
    </row>
    <row r="26" spans="2:16" x14ac:dyDescent="0.25">
      <c r="B26" s="615"/>
      <c r="C26" s="615"/>
      <c r="D26" s="615"/>
      <c r="E26" s="615"/>
      <c r="F26" s="615"/>
      <c r="G26" s="615"/>
      <c r="H26" s="615"/>
      <c r="I26" s="615"/>
      <c r="J26" s="615"/>
      <c r="K26" s="615"/>
      <c r="L26" s="615"/>
      <c r="M26" s="615"/>
      <c r="N26" s="615"/>
      <c r="O26" s="615"/>
      <c r="P26" s="615"/>
    </row>
    <row r="27" spans="2:16" x14ac:dyDescent="0.25">
      <c r="B27" s="3"/>
      <c r="C27" s="3"/>
      <c r="D27" s="3"/>
      <c r="E27" s="3"/>
      <c r="F27" s="3"/>
      <c r="G27" s="3"/>
      <c r="H27" s="3"/>
      <c r="I27" s="3"/>
      <c r="J27" s="3"/>
      <c r="K27" s="3"/>
      <c r="L27" s="3"/>
      <c r="M27" s="3"/>
      <c r="N27" s="3"/>
      <c r="O27" s="3"/>
      <c r="P27" s="3"/>
    </row>
    <row r="28" spans="2:16" x14ac:dyDescent="0.25">
      <c r="B28" s="3"/>
      <c r="C28" s="3"/>
      <c r="D28" s="3"/>
      <c r="E28" s="3"/>
      <c r="F28" s="3"/>
      <c r="G28" s="3"/>
      <c r="H28" s="3"/>
      <c r="I28" s="3"/>
      <c r="J28" s="3"/>
      <c r="K28" s="3"/>
      <c r="L28" s="3"/>
      <c r="M28" s="3"/>
      <c r="N28" s="3"/>
      <c r="O28" s="3"/>
      <c r="P28" s="3"/>
    </row>
    <row r="29" spans="2:16" x14ac:dyDescent="0.25">
      <c r="B29" s="3"/>
      <c r="C29" s="3"/>
      <c r="D29" s="3"/>
      <c r="E29" s="3"/>
      <c r="F29" s="3"/>
      <c r="G29" s="3"/>
      <c r="H29" s="3"/>
      <c r="I29" s="3"/>
      <c r="J29" s="3"/>
      <c r="K29" s="3"/>
      <c r="L29" s="3"/>
      <c r="M29" s="3"/>
      <c r="N29" s="3"/>
      <c r="O29" s="3"/>
      <c r="P29" s="3"/>
    </row>
    <row r="30" spans="2:16" x14ac:dyDescent="0.25">
      <c r="B30" s="3"/>
      <c r="C30" s="3"/>
      <c r="D30" s="3"/>
      <c r="E30" s="3"/>
      <c r="F30" s="3"/>
      <c r="G30" s="3"/>
      <c r="H30" s="3"/>
      <c r="I30" s="3"/>
      <c r="J30" s="3"/>
      <c r="K30" s="3"/>
      <c r="L30" s="3"/>
      <c r="M30" s="3"/>
      <c r="N30" s="3"/>
      <c r="O30" s="3"/>
      <c r="P30" s="3"/>
    </row>
    <row r="31" spans="2:16" x14ac:dyDescent="0.25">
      <c r="B31" s="3"/>
      <c r="C31" s="3"/>
      <c r="D31" s="3"/>
      <c r="E31" s="3"/>
      <c r="F31" s="3"/>
      <c r="G31" s="3"/>
      <c r="H31" s="3"/>
      <c r="I31" s="3"/>
      <c r="J31" s="3"/>
      <c r="K31" s="3"/>
      <c r="L31" s="3"/>
      <c r="M31" s="3"/>
      <c r="N31" s="3"/>
      <c r="O31" s="3"/>
      <c r="P31" s="3"/>
    </row>
    <row r="32" spans="2:16" x14ac:dyDescent="0.25">
      <c r="B32" s="3"/>
      <c r="C32" s="3"/>
      <c r="D32" s="3"/>
      <c r="E32" s="3"/>
      <c r="F32" s="3"/>
      <c r="G32" s="3"/>
      <c r="H32" s="3"/>
      <c r="I32" s="3"/>
      <c r="J32" s="3"/>
      <c r="K32" s="3"/>
      <c r="L32" s="3"/>
      <c r="M32" s="3"/>
      <c r="N32" s="3"/>
      <c r="O32" s="3"/>
      <c r="P32" s="3"/>
    </row>
    <row r="33" spans="2:16" x14ac:dyDescent="0.25">
      <c r="B33" s="3"/>
      <c r="C33" s="3"/>
      <c r="D33" s="3"/>
      <c r="E33" s="3"/>
      <c r="F33" s="3"/>
      <c r="G33" s="3"/>
      <c r="H33" s="3"/>
      <c r="I33" s="3"/>
      <c r="J33" s="3"/>
      <c r="K33" s="3"/>
      <c r="L33" s="3"/>
      <c r="M33" s="3"/>
      <c r="N33" s="3"/>
      <c r="O33" s="3"/>
      <c r="P33" s="3"/>
    </row>
    <row r="34" spans="2:16" x14ac:dyDescent="0.25">
      <c r="B34" s="3"/>
      <c r="C34" s="3"/>
      <c r="D34" s="3"/>
      <c r="E34" s="3"/>
      <c r="F34" s="3"/>
      <c r="G34" s="3"/>
      <c r="H34" s="3"/>
      <c r="I34" s="3"/>
      <c r="J34" s="3"/>
      <c r="K34" s="3"/>
      <c r="L34" s="3"/>
      <c r="M34" s="3"/>
      <c r="N34" s="3"/>
      <c r="O34" s="3"/>
      <c r="P34" s="3"/>
    </row>
    <row r="35" spans="2:16" x14ac:dyDescent="0.25">
      <c r="B35" s="3"/>
      <c r="C35" s="3"/>
      <c r="D35" s="3"/>
      <c r="E35" s="3"/>
      <c r="F35" s="3"/>
      <c r="G35" s="3"/>
      <c r="H35" s="3"/>
      <c r="I35" s="3"/>
      <c r="J35" s="3"/>
      <c r="K35" s="3"/>
      <c r="L35" s="3"/>
      <c r="M35" s="3"/>
      <c r="N35" s="3"/>
      <c r="O35" s="3"/>
      <c r="P35" s="3"/>
    </row>
    <row r="36" spans="2:16" x14ac:dyDescent="0.25">
      <c r="B36" s="3"/>
      <c r="C36" s="3"/>
      <c r="D36" s="3"/>
      <c r="E36" s="3"/>
      <c r="F36" s="3"/>
      <c r="G36" s="3"/>
      <c r="H36" s="3"/>
      <c r="I36" s="3"/>
      <c r="J36" s="3"/>
      <c r="K36" s="3"/>
      <c r="L36" s="3"/>
      <c r="M36" s="3"/>
      <c r="N36" s="3"/>
      <c r="O36" s="3"/>
      <c r="P36" s="3"/>
    </row>
    <row r="37" spans="2:16" x14ac:dyDescent="0.25">
      <c r="B37" s="3"/>
      <c r="C37" s="3"/>
      <c r="D37" s="3"/>
      <c r="E37" s="3"/>
      <c r="F37" s="3"/>
      <c r="G37" s="3"/>
      <c r="H37" s="3"/>
      <c r="I37" s="3"/>
      <c r="J37" s="3"/>
      <c r="K37" s="3"/>
      <c r="L37" s="3"/>
      <c r="M37" s="3"/>
      <c r="N37" s="3"/>
      <c r="O37" s="3"/>
      <c r="P37" s="3"/>
    </row>
    <row r="38" spans="2:16" x14ac:dyDescent="0.25">
      <c r="B38" s="3"/>
      <c r="C38" s="3"/>
      <c r="D38" s="3"/>
      <c r="E38" s="3"/>
      <c r="F38" s="3"/>
      <c r="G38" s="3"/>
      <c r="H38" s="3"/>
      <c r="I38" s="3"/>
      <c r="J38" s="3"/>
      <c r="K38" s="3"/>
      <c r="L38" s="3"/>
      <c r="M38" s="3"/>
      <c r="N38" s="3"/>
      <c r="O38" s="3"/>
      <c r="P38" s="3"/>
    </row>
    <row r="39" spans="2:16" x14ac:dyDescent="0.25">
      <c r="B39" s="3"/>
      <c r="C39" s="3"/>
      <c r="D39" s="3"/>
      <c r="E39" s="3"/>
      <c r="F39" s="3"/>
      <c r="G39" s="3"/>
      <c r="H39" s="3"/>
      <c r="I39" s="3"/>
      <c r="J39" s="3"/>
      <c r="K39" s="3"/>
      <c r="L39" s="3"/>
      <c r="M39" s="3"/>
      <c r="N39" s="3"/>
      <c r="O39" s="3"/>
      <c r="P39" s="3"/>
    </row>
    <row r="40" spans="2:16" x14ac:dyDescent="0.25">
      <c r="B40" s="3"/>
      <c r="C40" s="3"/>
      <c r="D40" s="3"/>
      <c r="E40" s="3"/>
      <c r="F40" s="3"/>
      <c r="G40" s="3"/>
      <c r="H40" s="3"/>
      <c r="I40" s="3"/>
      <c r="J40" s="3"/>
      <c r="K40" s="3"/>
      <c r="L40" s="3"/>
      <c r="M40" s="3"/>
      <c r="N40" s="3"/>
      <c r="O40" s="3"/>
      <c r="P40" s="3"/>
    </row>
    <row r="41" spans="2:16" x14ac:dyDescent="0.25">
      <c r="B41" s="3"/>
      <c r="C41" s="3"/>
      <c r="D41" s="3"/>
      <c r="E41" s="3"/>
      <c r="F41" s="3"/>
      <c r="G41" s="3"/>
      <c r="H41" s="3"/>
      <c r="I41" s="3"/>
      <c r="J41" s="3"/>
      <c r="K41" s="3"/>
      <c r="L41" s="3"/>
      <c r="M41" s="3"/>
      <c r="N41" s="3"/>
      <c r="O41" s="3"/>
      <c r="P41" s="3"/>
    </row>
    <row r="42" spans="2:16" x14ac:dyDescent="0.25">
      <c r="B42" s="3"/>
      <c r="C42" s="3"/>
      <c r="D42" s="3"/>
      <c r="E42" s="3"/>
      <c r="F42" s="3"/>
      <c r="G42" s="3"/>
      <c r="H42" s="3"/>
      <c r="I42" s="3"/>
      <c r="J42" s="3"/>
      <c r="K42" s="3"/>
      <c r="L42" s="3"/>
      <c r="M42" s="3"/>
      <c r="N42" s="3"/>
      <c r="O42" s="3"/>
      <c r="P42" s="3"/>
    </row>
    <row r="43" spans="2:16" x14ac:dyDescent="0.25">
      <c r="B43" s="3"/>
      <c r="C43" s="3"/>
      <c r="D43" s="3"/>
      <c r="E43" s="3"/>
      <c r="F43" s="3"/>
      <c r="G43" s="3"/>
      <c r="H43" s="3"/>
      <c r="I43" s="3"/>
      <c r="J43" s="3"/>
      <c r="K43" s="3"/>
      <c r="L43" s="3"/>
      <c r="M43" s="3"/>
      <c r="N43" s="3"/>
      <c r="O43" s="3"/>
      <c r="P43" s="3"/>
    </row>
    <row r="44" spans="2:16" x14ac:dyDescent="0.25">
      <c r="B44" s="3"/>
      <c r="C44" s="3"/>
      <c r="D44" s="3"/>
      <c r="E44" s="3"/>
      <c r="F44" s="3"/>
      <c r="G44" s="3"/>
      <c r="H44" s="3"/>
      <c r="I44" s="3"/>
      <c r="J44" s="3"/>
      <c r="K44" s="3"/>
      <c r="L44" s="3"/>
      <c r="M44" s="3"/>
      <c r="N44" s="3"/>
      <c r="O44" s="3"/>
      <c r="P44" s="3"/>
    </row>
    <row r="45" spans="2:16" x14ac:dyDescent="0.25">
      <c r="B45" s="3"/>
      <c r="C45" s="3"/>
      <c r="D45" s="3"/>
      <c r="E45" s="3"/>
      <c r="F45" s="3"/>
      <c r="G45" s="3"/>
      <c r="H45" s="3"/>
      <c r="I45" s="3"/>
      <c r="J45" s="3"/>
      <c r="K45" s="3"/>
      <c r="L45" s="3"/>
      <c r="M45" s="3"/>
      <c r="N45" s="3"/>
      <c r="O45" s="3"/>
      <c r="P45" s="3"/>
    </row>
    <row r="46" spans="2:16" x14ac:dyDescent="0.25">
      <c r="B46" s="3"/>
      <c r="C46" s="3"/>
      <c r="D46" s="3"/>
      <c r="E46" s="3"/>
      <c r="F46" s="3"/>
      <c r="G46" s="3"/>
      <c r="H46" s="3"/>
      <c r="I46" s="3"/>
      <c r="J46" s="3"/>
      <c r="K46" s="3"/>
      <c r="L46" s="3"/>
      <c r="M46" s="3"/>
      <c r="N46" s="3"/>
      <c r="O46" s="3"/>
      <c r="P46" s="3"/>
    </row>
    <row r="47" spans="2:16" x14ac:dyDescent="0.25">
      <c r="B47" s="3"/>
      <c r="C47" s="3"/>
      <c r="D47" s="3"/>
      <c r="E47" s="3"/>
      <c r="F47" s="3"/>
      <c r="G47" s="3"/>
      <c r="H47" s="3"/>
      <c r="I47" s="3"/>
      <c r="J47" s="3"/>
      <c r="K47" s="3"/>
      <c r="L47" s="3"/>
      <c r="M47" s="3"/>
      <c r="N47" s="3"/>
      <c r="O47" s="3"/>
      <c r="P47" s="3"/>
    </row>
    <row r="48" spans="2:16" x14ac:dyDescent="0.25">
      <c r="B48" s="3"/>
      <c r="C48" s="3"/>
      <c r="D48" s="3"/>
      <c r="E48" s="3"/>
      <c r="F48" s="3"/>
      <c r="G48" s="3"/>
      <c r="H48" s="3"/>
      <c r="I48" s="3"/>
      <c r="J48" s="3"/>
      <c r="K48" s="3"/>
      <c r="L48" s="3"/>
      <c r="M48" s="3"/>
      <c r="N48" s="3"/>
      <c r="O48" s="3"/>
      <c r="P48" s="3"/>
    </row>
    <row r="49" spans="2:16" x14ac:dyDescent="0.25">
      <c r="B49" s="3"/>
      <c r="C49" s="3"/>
      <c r="D49" s="3"/>
      <c r="E49" s="3"/>
      <c r="F49" s="3"/>
      <c r="G49" s="3"/>
      <c r="H49" s="3"/>
      <c r="I49" s="3"/>
      <c r="J49" s="3"/>
      <c r="K49" s="3"/>
      <c r="L49" s="3"/>
      <c r="M49" s="3"/>
      <c r="N49" s="3"/>
      <c r="O49" s="3"/>
      <c r="P49" s="3"/>
    </row>
    <row r="50" spans="2:16" x14ac:dyDescent="0.25">
      <c r="B50" s="3"/>
      <c r="C50" s="3"/>
      <c r="D50" s="3"/>
      <c r="E50" s="3"/>
      <c r="F50" s="3"/>
      <c r="G50" s="3"/>
      <c r="H50" s="3"/>
      <c r="I50" s="3"/>
      <c r="J50" s="3"/>
      <c r="K50" s="3"/>
      <c r="L50" s="3"/>
      <c r="M50" s="3"/>
      <c r="N50" s="3"/>
      <c r="O50" s="3"/>
      <c r="P50" s="3"/>
    </row>
    <row r="51" spans="2:16" x14ac:dyDescent="0.25">
      <c r="B51" s="3"/>
      <c r="C51" s="3"/>
      <c r="D51" s="3"/>
      <c r="E51" s="3"/>
      <c r="F51" s="3"/>
      <c r="G51" s="3"/>
      <c r="H51" s="3"/>
      <c r="I51" s="3"/>
      <c r="J51" s="3"/>
      <c r="K51" s="3"/>
      <c r="L51" s="3"/>
      <c r="M51" s="3"/>
      <c r="N51" s="3"/>
      <c r="O51" s="3"/>
      <c r="P51" s="3"/>
    </row>
    <row r="52" spans="2:16" x14ac:dyDescent="0.25">
      <c r="B52" s="3"/>
      <c r="C52" s="3"/>
      <c r="D52" s="3"/>
      <c r="E52" s="3"/>
      <c r="F52" s="3"/>
      <c r="G52" s="3"/>
      <c r="H52" s="3"/>
      <c r="I52" s="3"/>
      <c r="J52" s="3"/>
      <c r="K52" s="3"/>
      <c r="L52" s="3"/>
      <c r="M52" s="3"/>
      <c r="N52" s="3"/>
      <c r="O52" s="3"/>
      <c r="P52" s="3"/>
    </row>
    <row r="53" spans="2:16" x14ac:dyDescent="0.25">
      <c r="B53" s="3"/>
      <c r="C53" s="3"/>
      <c r="D53" s="3"/>
      <c r="E53" s="3"/>
      <c r="F53" s="3"/>
      <c r="G53" s="3"/>
      <c r="H53" s="3"/>
      <c r="I53" s="3"/>
      <c r="J53" s="3"/>
      <c r="K53" s="3"/>
      <c r="L53" s="3"/>
      <c r="M53" s="3"/>
      <c r="N53" s="3"/>
      <c r="O53" s="3"/>
      <c r="P53" s="3"/>
    </row>
    <row r="54" spans="2:16" x14ac:dyDescent="0.25">
      <c r="B54" s="3"/>
      <c r="C54" s="3"/>
      <c r="D54" s="3"/>
      <c r="E54" s="3"/>
      <c r="F54" s="3"/>
      <c r="G54" s="3"/>
      <c r="H54" s="3"/>
      <c r="I54" s="3"/>
      <c r="J54" s="3"/>
      <c r="K54" s="3"/>
      <c r="L54" s="3"/>
      <c r="M54" s="3"/>
      <c r="N54" s="3"/>
      <c r="O54" s="3"/>
      <c r="P54" s="3"/>
    </row>
    <row r="55" spans="2:16" x14ac:dyDescent="0.25">
      <c r="B55" s="3"/>
      <c r="C55" s="3"/>
      <c r="D55" s="3"/>
      <c r="E55" s="3"/>
      <c r="F55" s="3"/>
      <c r="G55" s="3"/>
      <c r="H55" s="3"/>
      <c r="I55" s="3"/>
      <c r="J55" s="3"/>
      <c r="K55" s="3"/>
      <c r="L55" s="3"/>
      <c r="M55" s="3"/>
      <c r="N55" s="3"/>
      <c r="O55" s="3"/>
      <c r="P55" s="3"/>
    </row>
    <row r="56" spans="2:16" x14ac:dyDescent="0.25">
      <c r="B56" s="3"/>
      <c r="C56" s="3"/>
      <c r="D56" s="3"/>
      <c r="E56" s="3"/>
      <c r="F56" s="3"/>
      <c r="G56" s="3"/>
      <c r="H56" s="3"/>
      <c r="I56" s="3"/>
      <c r="J56" s="3"/>
      <c r="K56" s="3"/>
      <c r="L56" s="3"/>
      <c r="M56" s="3"/>
      <c r="N56" s="3"/>
      <c r="O56" s="3"/>
      <c r="P56" s="3"/>
    </row>
    <row r="57" spans="2:16" x14ac:dyDescent="0.25">
      <c r="B57" s="3"/>
      <c r="C57" s="3"/>
      <c r="D57" s="3"/>
      <c r="E57" s="3"/>
      <c r="F57" s="3"/>
      <c r="G57" s="3"/>
      <c r="H57" s="3"/>
      <c r="I57" s="3"/>
      <c r="J57" s="3"/>
      <c r="K57" s="3"/>
      <c r="L57" s="3"/>
      <c r="M57" s="3"/>
      <c r="N57" s="3"/>
      <c r="O57" s="3"/>
      <c r="P57" s="3"/>
    </row>
    <row r="58" spans="2:16" x14ac:dyDescent="0.25">
      <c r="B58" s="3"/>
      <c r="C58" s="3"/>
      <c r="D58" s="3"/>
      <c r="E58" s="3"/>
      <c r="F58" s="3"/>
      <c r="G58" s="3"/>
      <c r="H58" s="3"/>
      <c r="I58" s="3"/>
      <c r="J58" s="3"/>
      <c r="K58" s="3"/>
      <c r="L58" s="3"/>
      <c r="M58" s="3"/>
      <c r="N58" s="3"/>
      <c r="O58" s="3"/>
      <c r="P58" s="3"/>
    </row>
    <row r="59" spans="2:16" x14ac:dyDescent="0.25">
      <c r="B59" s="3"/>
      <c r="C59" s="3"/>
      <c r="D59" s="3"/>
      <c r="E59" s="3"/>
      <c r="F59" s="3"/>
      <c r="G59" s="3"/>
      <c r="H59" s="3"/>
      <c r="I59" s="3"/>
      <c r="J59" s="3"/>
      <c r="K59" s="3"/>
      <c r="L59" s="3"/>
      <c r="M59" s="3"/>
      <c r="N59" s="3"/>
      <c r="O59" s="3"/>
      <c r="P59" s="3"/>
    </row>
    <row r="60" spans="2:16" x14ac:dyDescent="0.25">
      <c r="B60" s="3"/>
      <c r="C60" s="3"/>
      <c r="D60" s="3"/>
      <c r="E60" s="3"/>
      <c r="F60" s="3"/>
      <c r="G60" s="3"/>
      <c r="H60" s="3"/>
      <c r="I60" s="3"/>
      <c r="J60" s="3"/>
      <c r="K60" s="3"/>
      <c r="L60" s="3"/>
      <c r="M60" s="3"/>
      <c r="N60" s="3"/>
      <c r="O60" s="3"/>
      <c r="P60" s="3"/>
    </row>
    <row r="61" spans="2:16" x14ac:dyDescent="0.25">
      <c r="B61" s="3"/>
      <c r="C61" s="3"/>
      <c r="D61" s="3"/>
      <c r="E61" s="3"/>
      <c r="F61" s="3"/>
      <c r="G61" s="3"/>
      <c r="H61" s="3"/>
      <c r="I61" s="3"/>
      <c r="J61" s="3"/>
      <c r="K61" s="3"/>
      <c r="L61" s="3"/>
      <c r="M61" s="3"/>
      <c r="N61" s="3"/>
      <c r="O61" s="3"/>
      <c r="P61" s="3"/>
    </row>
    <row r="62" spans="2:16" x14ac:dyDescent="0.25">
      <c r="B62" s="3"/>
      <c r="C62" s="3"/>
      <c r="D62" s="3"/>
      <c r="E62" s="3"/>
      <c r="F62" s="3"/>
      <c r="G62" s="3"/>
      <c r="H62" s="3"/>
      <c r="I62" s="3"/>
      <c r="J62" s="3"/>
      <c r="K62" s="3"/>
      <c r="L62" s="3"/>
      <c r="M62" s="3"/>
      <c r="N62" s="3"/>
      <c r="O62" s="3"/>
      <c r="P62" s="3"/>
    </row>
    <row r="63" spans="2:16" x14ac:dyDescent="0.25">
      <c r="B63" s="3"/>
      <c r="C63" s="3"/>
      <c r="D63" s="3"/>
      <c r="E63" s="3"/>
      <c r="F63" s="3"/>
      <c r="G63" s="3"/>
      <c r="H63" s="3"/>
      <c r="I63" s="3"/>
      <c r="J63" s="3"/>
      <c r="K63" s="3"/>
      <c r="L63" s="3"/>
      <c r="M63" s="3"/>
      <c r="N63" s="3"/>
      <c r="O63" s="3"/>
      <c r="P63" s="3"/>
    </row>
    <row r="64" spans="2:16" x14ac:dyDescent="0.25">
      <c r="B64" s="3"/>
      <c r="C64" s="3"/>
      <c r="D64" s="3"/>
      <c r="E64" s="3"/>
      <c r="F64" s="3"/>
      <c r="G64" s="3"/>
      <c r="H64" s="3"/>
      <c r="I64" s="3"/>
      <c r="J64" s="3"/>
      <c r="K64" s="3"/>
      <c r="L64" s="3"/>
      <c r="M64" s="3"/>
      <c r="N64" s="3"/>
      <c r="O64" s="3"/>
      <c r="P64" s="3"/>
    </row>
    <row r="65" spans="2:16" x14ac:dyDescent="0.25">
      <c r="B65" s="3"/>
      <c r="C65" s="3"/>
      <c r="D65" s="3"/>
      <c r="E65" s="3"/>
      <c r="F65" s="3"/>
      <c r="G65" s="3"/>
      <c r="H65" s="3"/>
      <c r="I65" s="3"/>
      <c r="J65" s="3"/>
      <c r="K65" s="3"/>
      <c r="L65" s="3"/>
      <c r="M65" s="3"/>
      <c r="N65" s="3"/>
      <c r="O65" s="3"/>
      <c r="P65" s="3"/>
    </row>
    <row r="66" spans="2:16" x14ac:dyDescent="0.25">
      <c r="B66" s="3"/>
      <c r="C66" s="3"/>
      <c r="D66" s="3"/>
      <c r="E66" s="3"/>
      <c r="F66" s="3"/>
      <c r="G66" s="3"/>
      <c r="H66" s="3"/>
      <c r="I66" s="3"/>
      <c r="J66" s="3"/>
      <c r="K66" s="3"/>
      <c r="L66" s="3"/>
      <c r="M66" s="3"/>
      <c r="N66" s="3"/>
      <c r="O66" s="3"/>
      <c r="P66" s="3"/>
    </row>
    <row r="67" spans="2:16" x14ac:dyDescent="0.25">
      <c r="B67" s="3"/>
      <c r="C67" s="3"/>
      <c r="D67" s="3"/>
      <c r="E67" s="3"/>
      <c r="F67" s="3"/>
      <c r="G67" s="3"/>
      <c r="H67" s="3"/>
      <c r="I67" s="3"/>
      <c r="J67" s="3"/>
      <c r="K67" s="3"/>
      <c r="L67" s="3"/>
      <c r="M67" s="3"/>
      <c r="N67" s="3"/>
      <c r="O67" s="3"/>
      <c r="P67" s="3"/>
    </row>
    <row r="68" spans="2:16" x14ac:dyDescent="0.25">
      <c r="B68" s="3"/>
      <c r="C68" s="3"/>
      <c r="D68" s="3"/>
      <c r="E68" s="3"/>
      <c r="F68" s="3"/>
      <c r="G68" s="3"/>
      <c r="H68" s="3"/>
      <c r="I68" s="3"/>
      <c r="J68" s="3"/>
      <c r="K68" s="3"/>
      <c r="L68" s="3"/>
      <c r="M68" s="3"/>
      <c r="N68" s="3"/>
      <c r="O68" s="3"/>
      <c r="P68" s="3"/>
    </row>
    <row r="69" spans="2:16" x14ac:dyDescent="0.25">
      <c r="B69" s="3"/>
      <c r="C69" s="3"/>
      <c r="D69" s="3"/>
      <c r="E69" s="3"/>
      <c r="F69" s="3"/>
      <c r="G69" s="3"/>
      <c r="H69" s="3"/>
      <c r="I69" s="3"/>
      <c r="J69" s="3"/>
      <c r="K69" s="3"/>
      <c r="L69" s="3"/>
      <c r="M69" s="3"/>
      <c r="N69" s="3"/>
      <c r="O69" s="3"/>
      <c r="P69" s="3"/>
    </row>
    <row r="70" spans="2:16" x14ac:dyDescent="0.25">
      <c r="B70" s="3"/>
      <c r="C70" s="3"/>
      <c r="D70" s="3"/>
      <c r="E70" s="3"/>
      <c r="F70" s="3"/>
      <c r="G70" s="3"/>
      <c r="H70" s="3"/>
      <c r="I70" s="3"/>
      <c r="J70" s="3"/>
      <c r="K70" s="3"/>
      <c r="L70" s="3"/>
      <c r="M70" s="3"/>
      <c r="N70" s="3"/>
      <c r="O70" s="3"/>
      <c r="P70" s="3"/>
    </row>
    <row r="71" spans="2:16" x14ac:dyDescent="0.25">
      <c r="B71" s="3"/>
      <c r="C71" s="3"/>
      <c r="D71" s="3"/>
      <c r="E71" s="3"/>
      <c r="F71" s="3"/>
      <c r="G71" s="3"/>
      <c r="H71" s="3"/>
      <c r="I71" s="3"/>
      <c r="J71" s="3"/>
      <c r="K71" s="3"/>
      <c r="L71" s="3"/>
      <c r="M71" s="3"/>
      <c r="N71" s="3"/>
      <c r="O71" s="3"/>
      <c r="P71" s="3"/>
    </row>
    <row r="72" spans="2:16" x14ac:dyDescent="0.25">
      <c r="B72" s="3"/>
      <c r="C72" s="3"/>
      <c r="D72" s="3"/>
      <c r="E72" s="3"/>
      <c r="F72" s="3"/>
      <c r="G72" s="3"/>
      <c r="H72" s="3"/>
      <c r="I72" s="3"/>
      <c r="J72" s="3"/>
      <c r="K72" s="3"/>
      <c r="L72" s="3"/>
      <c r="M72" s="3"/>
      <c r="N72" s="3"/>
      <c r="O72" s="3"/>
      <c r="P72" s="3"/>
    </row>
    <row r="73" spans="2:16" x14ac:dyDescent="0.25">
      <c r="B73" s="3"/>
      <c r="C73" s="3"/>
      <c r="D73" s="3"/>
      <c r="E73" s="3"/>
      <c r="F73" s="3"/>
      <c r="G73" s="3"/>
      <c r="H73" s="3"/>
      <c r="I73" s="3"/>
      <c r="J73" s="3"/>
      <c r="K73" s="3"/>
      <c r="L73" s="3"/>
      <c r="M73" s="3"/>
      <c r="N73" s="3"/>
      <c r="O73" s="3"/>
      <c r="P73" s="3"/>
    </row>
  </sheetData>
  <sheetProtection algorithmName="SHA-512" hashValue="IbifiA6F6c0e66TpoRkMlwI8bGv73dP4wskrvdYe3kYgrOmUVV9rGnxjsWz5c5HYTleuOBEb+fqZS4vQxlCzLg==" saltValue="IVZAGu618hFfO1CK8o59MQ==" spinCount="100000" sheet="1" objects="1" scenarios="1"/>
  <mergeCells count="15">
    <mergeCell ref="B1:L1"/>
    <mergeCell ref="D13:P13"/>
    <mergeCell ref="D5:P5"/>
    <mergeCell ref="D12:P12"/>
    <mergeCell ref="B2:L2"/>
    <mergeCell ref="D4:P4"/>
    <mergeCell ref="D10:P10"/>
    <mergeCell ref="D9:P9"/>
    <mergeCell ref="D8:P8"/>
    <mergeCell ref="D16:P16"/>
    <mergeCell ref="D17:P17"/>
    <mergeCell ref="D18:P18"/>
    <mergeCell ref="D11:P11"/>
    <mergeCell ref="D15:P15"/>
    <mergeCell ref="D14:P14"/>
  </mergeCells>
  <phoneticPr fontId="22" type="noConversion"/>
  <pageMargins left="0.70866141732283472" right="0.70866141732283472" top="0.74803149606299213" bottom="0.74803149606299213" header="0.31496062992125984" footer="0.31496062992125984"/>
  <pageSetup paperSize="9"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5:B22"/>
  <sheetViews>
    <sheetView workbookViewId="0">
      <selection activeCell="H9" sqref="H9:I9"/>
    </sheetView>
  </sheetViews>
  <sheetFormatPr defaultColWidth="8.85546875" defaultRowHeight="15" x14ac:dyDescent="0.25"/>
  <cols>
    <col min="2" max="2" width="9.140625" customWidth="1"/>
  </cols>
  <sheetData>
    <row r="5" spans="2:2" x14ac:dyDescent="0.25">
      <c r="B5" s="30"/>
    </row>
    <row r="6" spans="2:2" x14ac:dyDescent="0.25">
      <c r="B6" s="30"/>
    </row>
    <row r="7" spans="2:2" x14ac:dyDescent="0.25">
      <c r="B7" s="30"/>
    </row>
    <row r="8" spans="2:2" x14ac:dyDescent="0.25">
      <c r="B8" s="30"/>
    </row>
    <row r="9" spans="2:2" x14ac:dyDescent="0.25">
      <c r="B9" s="30"/>
    </row>
    <row r="10" spans="2:2" x14ac:dyDescent="0.25">
      <c r="B10" s="30"/>
    </row>
    <row r="11" spans="2:2" x14ac:dyDescent="0.25">
      <c r="B11" s="30"/>
    </row>
    <row r="12" spans="2:2" x14ac:dyDescent="0.25">
      <c r="B12" s="30"/>
    </row>
    <row r="13" spans="2:2" x14ac:dyDescent="0.25">
      <c r="B13" s="30"/>
    </row>
    <row r="14" spans="2:2" x14ac:dyDescent="0.25">
      <c r="B14" s="30"/>
    </row>
    <row r="15" spans="2:2" x14ac:dyDescent="0.25">
      <c r="B15" s="30"/>
    </row>
    <row r="16" spans="2:2" x14ac:dyDescent="0.25">
      <c r="B16" s="30"/>
    </row>
    <row r="17" spans="2:2" x14ac:dyDescent="0.25">
      <c r="B17" s="30"/>
    </row>
    <row r="18" spans="2:2" x14ac:dyDescent="0.25">
      <c r="B18" s="30"/>
    </row>
    <row r="19" spans="2:2" x14ac:dyDescent="0.25">
      <c r="B19" s="30"/>
    </row>
    <row r="20" spans="2:2" x14ac:dyDescent="0.25">
      <c r="B20" s="30"/>
    </row>
    <row r="21" spans="2:2" x14ac:dyDescent="0.25">
      <c r="B21" s="30"/>
    </row>
    <row r="22" spans="2:2" x14ac:dyDescent="0.25">
      <c r="B22" s="30"/>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H9" sqref="H9:I9"/>
    </sheetView>
  </sheetViews>
  <sheetFormatPr defaultColWidth="8.85546875"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H9" sqref="H9:I9"/>
    </sheetView>
  </sheetViews>
  <sheetFormatPr defaultColWidth="8.8554687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BAED53369A40C479E606D250AC40773" ma:contentTypeVersion="13" ma:contentTypeDescription="Opprett et nytt dokument." ma:contentTypeScope="" ma:versionID="f2a905ab2b3bed603e0796d70c2afd4c">
  <xsd:schema xmlns:xsd="http://www.w3.org/2001/XMLSchema" xmlns:xs="http://www.w3.org/2001/XMLSchema" xmlns:p="http://schemas.microsoft.com/office/2006/metadata/properties" xmlns:ns2="3851e051-9be9-475c-a246-5571e8dd2d5d" xmlns:ns3="6d456677-2d6b-4a4c-b93c-0a35d0291704" targetNamespace="http://schemas.microsoft.com/office/2006/metadata/properties" ma:root="true" ma:fieldsID="eb5b59e37d735250961c20502ec5e8c1" ns2:_="" ns3:_="">
    <xsd:import namespace="3851e051-9be9-475c-a246-5571e8dd2d5d"/>
    <xsd:import namespace="6d456677-2d6b-4a4c-b93c-0a35d02917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1e051-9be9-475c-a246-5571e8dd2d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456677-2d6b-4a4c-b93c-0a35d0291704"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851e051-9be9-475c-a246-5571e8dd2d5d" xsi:nil="true"/>
    <SharedWithUsers xmlns="6d456677-2d6b-4a4c-b93c-0a35d0291704">
      <UserInfo>
        <DisplayName/>
        <AccountId xsi:nil="true"/>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473ED8D844509B40B8ED2A4F57557FDF" ma:contentTypeVersion="10" ma:contentTypeDescription="Opprett et nytt dokument." ma:contentTypeScope="" ma:versionID="5a3588df43d0e122934e98f713478315">
  <xsd:schema xmlns:xsd="http://www.w3.org/2001/XMLSchema" xmlns:xs="http://www.w3.org/2001/XMLSchema" xmlns:p="http://schemas.microsoft.com/office/2006/metadata/properties" xmlns:ns2="94fc5000-3977-4bb9-85fe-95b8458bb4bf" xmlns:ns3="8f686a36-9368-4dda-9e9f-a86bde0d326a" targetNamespace="http://schemas.microsoft.com/office/2006/metadata/properties" ma:root="true" ma:fieldsID="5dc860a208286b0380a3671511075df2" ns2:_="" ns3:_="">
    <xsd:import namespace="94fc5000-3977-4bb9-85fe-95b8458bb4bf"/>
    <xsd:import namespace="8f686a36-9368-4dda-9e9f-a86bde0d326a"/>
    <xsd:element name="properties">
      <xsd:complexType>
        <xsd:sequence>
          <xsd:element name="documentManagement">
            <xsd:complexType>
              <xsd:all>
                <xsd:element ref="ns2:_dlc_DocId" minOccurs="0"/>
                <xsd:element ref="ns2:_dlc_DocIdUrl" minOccurs="0"/>
                <xsd:element ref="ns2:_dlc_DocIdPersistId" minOccurs="0"/>
                <xsd:element ref="ns3:Dokumenttype"/>
                <xsd:element ref="ns3:Aktivitet" minOccurs="0"/>
                <xsd:element ref="ns3:Dokumenttema" minOccurs="0"/>
                <xsd:element ref="ns3:Revisjon" minOccurs="0"/>
                <xsd:element ref="ns3:RevisjonsDato" minOccurs="0"/>
                <xsd:element ref="ns3:TilTekst" minOccurs="0"/>
                <xsd:element ref="ns3:FraTekst" minOccurs="0"/>
                <xsd:element ref="ns3:KopiTekst" minOccurs="0"/>
                <xsd:element ref="ns3:SharedWithUsers" minOccurs="0"/>
                <xsd:element ref="ns3:Oppdragsnumm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c5000-3977-4bb9-85fe-95b8458bb4bf"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f686a36-9368-4dda-9e9f-a86bde0d326a" elementFormDefault="qualified">
    <xsd:import namespace="http://schemas.microsoft.com/office/2006/documentManagement/types"/>
    <xsd:import namespace="http://schemas.microsoft.com/office/infopath/2007/PartnerControls"/>
    <xsd:element name="Dokumenttype" ma:index="11" ma:displayName="Dokumenttype" ma:default="Oppdragsdokument" ma:internalName="Dokumenttype">
      <xsd:simpleType>
        <xsd:restriction base="dms:Choice">
          <xsd:enumeration value="Oppdragsdokument"/>
          <xsd:enumeration value="Avtale"/>
          <xsd:enumeration value="Kart"/>
          <xsd:enumeration value="Notat"/>
          <xsd:enumeration value="Rapport"/>
          <xsd:enumeration value="Tegning"/>
          <xsd:enumeration value="Tilbud"/>
          <xsd:enumeration value="Brev"/>
          <xsd:enumeration value="Møte"/>
          <xsd:enumeration value="E-post"/>
          <xsd:enumeration value="Sjekkliste"/>
        </xsd:restriction>
      </xsd:simpleType>
    </xsd:element>
    <xsd:element name="Aktivitet" ma:index="12" nillable="true" ma:displayName="Aktivitet" ma:list="{4A005FC5-2181-4245-9789-C7D57B48DB22}" ma:internalName="Aktivitet" ma:showField="Title" ma:web="8f686a36-9368-4dda-9e9f-a86bde0d326a">
      <xsd:simpleType>
        <xsd:restriction base="dms:Lookup"/>
      </xsd:simpleType>
    </xsd:element>
    <xsd:element name="Dokumenttema" ma:index="13" nillable="true" ma:displayName="Dokumenttema" ma:list="{49143DDE-213C-4E8B-A328-CB38FE75E5AB}" ma:internalName="Dokumenttema" ma:showField="Title" ma:web="8f686a36-9368-4dda-9e9f-a86bde0d326a">
      <xsd:simpleType>
        <xsd:restriction base="dms:Lookup"/>
      </xsd:simpleType>
    </xsd:element>
    <xsd:element name="Revisjon" ma:index="14" nillable="true" ma:displayName="Revisjon" ma:internalName="Revisjon">
      <xsd:simpleType>
        <xsd:restriction base="dms:Text">
          <xsd:maxLength value="255"/>
        </xsd:restriction>
      </xsd:simpleType>
    </xsd:element>
    <xsd:element name="RevisjonsDato" ma:index="15" nillable="true" ma:displayName="RevisjonsDato" ma:format="DateOnly" ma:internalName="RevisjonsDato">
      <xsd:simpleType>
        <xsd:restriction base="dms:DateTime"/>
      </xsd:simpleType>
    </xsd:element>
    <xsd:element name="TilTekst" ma:index="16" nillable="true" ma:displayName="Til" ma:internalName="TilTekst">
      <xsd:simpleType>
        <xsd:restriction base="dms:Note">
          <xsd:maxLength value="255"/>
        </xsd:restriction>
      </xsd:simpleType>
    </xsd:element>
    <xsd:element name="FraTekst" ma:index="17" nillable="true" ma:displayName="Fra" ma:internalName="FraTekst">
      <xsd:simpleType>
        <xsd:restriction base="dms:Note">
          <xsd:maxLength value="255"/>
        </xsd:restriction>
      </xsd:simpleType>
    </xsd:element>
    <xsd:element name="KopiTekst" ma:index="18" nillable="true" ma:displayName="Kopi" ma:internalName="KopiTekst">
      <xsd:simpleType>
        <xsd:restriction base="dms:Note">
          <xsd:maxLength value="255"/>
        </xsd:restriction>
      </xsd:simpleType>
    </xsd:element>
    <xsd:element name="SharedWithUsers" ma:index="19"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ppdragsnummer" ma:index="20" nillable="true" ma:displayName="Oppdragsnummer" ma:default="605893-02" ma:internalName="Oppdragsnumm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F031850-8209-4C4B-B86A-20DB93DD6490}"/>
</file>

<file path=customXml/itemProps2.xml><?xml version="1.0" encoding="utf-8"?>
<ds:datastoreItem xmlns:ds="http://schemas.openxmlformats.org/officeDocument/2006/customXml" ds:itemID="{99D2125B-24D9-472D-B56D-38274035C0C9}">
  <ds:schemaRefs>
    <ds:schemaRef ds:uri="http://schemas.microsoft.com/sharepoint/v3/contenttype/forms"/>
  </ds:schemaRefs>
</ds:datastoreItem>
</file>

<file path=customXml/itemProps3.xml><?xml version="1.0" encoding="utf-8"?>
<ds:datastoreItem xmlns:ds="http://schemas.openxmlformats.org/officeDocument/2006/customXml" ds:itemID="{00F68772-2ABF-4F37-8594-F905212249AD}">
  <ds:schemaRefs>
    <ds:schemaRef ds:uri="http://purl.org/dc/elements/1.1/"/>
    <ds:schemaRef ds:uri="http://purl.org/dc/dcmitype/"/>
    <ds:schemaRef ds:uri="http://schemas.microsoft.com/office/2006/metadata/properties"/>
    <ds:schemaRef ds:uri="http://schemas.microsoft.com/office/2006/documentManagement/types"/>
    <ds:schemaRef ds:uri="http://purl.org/dc/terms/"/>
    <ds:schemaRef ds:uri="http://www.w3.org/XML/1998/namespace"/>
    <ds:schemaRef ds:uri="94fc5000-3977-4bb9-85fe-95b8458bb4bf"/>
    <ds:schemaRef ds:uri="http://schemas.microsoft.com/office/infopath/2007/PartnerControls"/>
    <ds:schemaRef ds:uri="http://schemas.openxmlformats.org/package/2006/metadata/core-properties"/>
    <ds:schemaRef ds:uri="8f686a36-9368-4dda-9e9f-a86bde0d326a"/>
  </ds:schemaRefs>
</ds:datastoreItem>
</file>

<file path=customXml/itemProps4.xml><?xml version="1.0" encoding="utf-8"?>
<ds:datastoreItem xmlns:ds="http://schemas.openxmlformats.org/officeDocument/2006/customXml" ds:itemID="{2EA4F048-F331-46D8-88A5-DBFFD822FD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fc5000-3977-4bb9-85fe-95b8458bb4bf"/>
    <ds:schemaRef ds:uri="8f686a36-9368-4dda-9e9f-a86bde0d32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760</vt:i4>
      </vt:variant>
    </vt:vector>
  </HeadingPairs>
  <TitlesOfParts>
    <vt:vector size="772" baseType="lpstr">
      <vt:lpstr>Instructions</vt:lpstr>
      <vt:lpstr>Assessment Details</vt:lpstr>
      <vt:lpstr>Pre-Assessment Estimator</vt:lpstr>
      <vt:lpstr>Poeng</vt:lpstr>
      <vt:lpstr>Credit list</vt:lpstr>
      <vt:lpstr>Manuell filtrering og justering</vt:lpstr>
      <vt:lpstr>Summary of Building Performance</vt:lpstr>
      <vt:lpstr>PAE available for copy</vt:lpstr>
      <vt:lpstr>Version Control</vt:lpstr>
      <vt:lpstr>Sheet1</vt:lpstr>
      <vt:lpstr>Sheet2</vt:lpstr>
      <vt:lpstr>Sheet3</vt:lpstr>
      <vt:lpstr>_PSc1</vt:lpstr>
      <vt:lpstr>Achieved_const</vt:lpstr>
      <vt:lpstr>Achieved_design</vt:lpstr>
      <vt:lpstr>Achieved_initial</vt:lpstr>
      <vt:lpstr>AD_Add01</vt:lpstr>
      <vt:lpstr>AD_Add02</vt:lpstr>
      <vt:lpstr>AD_Add04</vt:lpstr>
      <vt:lpstr>AD_Architect</vt:lpstr>
      <vt:lpstr>AD_assessor</vt:lpstr>
      <vt:lpstr>AD_Assessor_org</vt:lpstr>
      <vt:lpstr>AD_Banner</vt:lpstr>
      <vt:lpstr>AD_BREEAM_stage</vt:lpstr>
      <vt:lpstr>AD_BREEAM_version</vt:lpstr>
      <vt:lpstr>AD_BREEAMAP</vt:lpstr>
      <vt:lpstr>AD_Buildserve</vt:lpstr>
      <vt:lpstr>AD_Builduser</vt:lpstr>
      <vt:lpstr>AD_catlevel01</vt:lpstr>
      <vt:lpstr>AD_catlevel02</vt:lpstr>
      <vt:lpstr>AD_catlevel03</vt:lpstr>
      <vt:lpstr>AD_client</vt:lpstr>
      <vt:lpstr>AD_Contractor</vt:lpstr>
      <vt:lpstr>AD_Developer</vt:lpstr>
      <vt:lpstr>AD_Energyload</vt:lpstr>
      <vt:lpstr>AD_GIA</vt:lpstr>
      <vt:lpstr>AD_heat</vt:lpstr>
      <vt:lpstr>AD_labcat_list</vt:lpstr>
      <vt:lpstr>AD_Labsize</vt:lpstr>
      <vt:lpstr>AD_Labsize_list</vt:lpstr>
      <vt:lpstr>AD_Labsize01</vt:lpstr>
      <vt:lpstr>AD_Labsize02</vt:lpstr>
      <vt:lpstr>AD_Labsize03</vt:lpstr>
      <vt:lpstr>AD_labsize04</vt:lpstr>
      <vt:lpstr>AD_MultiRes_option01a</vt:lpstr>
      <vt:lpstr>AD_MultiRes_option01b</vt:lpstr>
      <vt:lpstr>AD_Multitenant</vt:lpstr>
      <vt:lpstr>AD_NIFA</vt:lpstr>
      <vt:lpstr>AD_no</vt:lpstr>
      <vt:lpstr>AD_option_na</vt:lpstr>
      <vt:lpstr>AD_Other01</vt:lpstr>
      <vt:lpstr>AD_Other02</vt:lpstr>
      <vt:lpstr>AD_other03</vt:lpstr>
      <vt:lpstr>AD_Other04</vt:lpstr>
      <vt:lpstr>AD_Ozoneleg</vt:lpstr>
      <vt:lpstr>AD_p_zone0</vt:lpstr>
      <vt:lpstr>AD_p_zone1</vt:lpstr>
      <vt:lpstr>AD_P_zone2</vt:lpstr>
      <vt:lpstr>AD_P_Zone3</vt:lpstr>
      <vt:lpstr>AD_Projman</vt:lpstr>
      <vt:lpstr>AD_ref</vt:lpstr>
      <vt:lpstr>AD_refrig</vt:lpstr>
      <vt:lpstr>AD_stage_list</vt:lpstr>
      <vt:lpstr>AD_Statement04</vt:lpstr>
      <vt:lpstr>AD_statement05</vt:lpstr>
      <vt:lpstr>AD_statement06</vt:lpstr>
      <vt:lpstr>AD_tra01type</vt:lpstr>
      <vt:lpstr>AD_Trans</vt:lpstr>
      <vt:lpstr>AD_type_list</vt:lpstr>
      <vt:lpstr>AD_version</vt:lpstr>
      <vt:lpstr>AD_Yes</vt:lpstr>
      <vt:lpstr>AD_YesNo</vt:lpstr>
      <vt:lpstr>AD_YesNo_list</vt:lpstr>
      <vt:lpstr>ADAS0</vt:lpstr>
      <vt:lpstr>ADAS01</vt:lpstr>
      <vt:lpstr>ADAS02</vt:lpstr>
      <vt:lpstr>ADBN</vt:lpstr>
      <vt:lpstr>ADBT_sub02</vt:lpstr>
      <vt:lpstr>ADBT_sub03</vt:lpstr>
      <vt:lpstr>ADBT_sub04</vt:lpstr>
      <vt:lpstr>ADBT_sub05</vt:lpstr>
      <vt:lpstr>ADBT_sub06</vt:lpstr>
      <vt:lpstr>ADBT_sub07</vt:lpstr>
      <vt:lpstr>ADBT_sub08</vt:lpstr>
      <vt:lpstr>ADBT_sub09</vt:lpstr>
      <vt:lpstr>ADBT_sub10</vt:lpstr>
      <vt:lpstr>ADBT_sub11</vt:lpstr>
      <vt:lpstr>ADBT_sub12</vt:lpstr>
      <vt:lpstr>ADBT_sub13</vt:lpstr>
      <vt:lpstr>ADBT_sub14</vt:lpstr>
      <vt:lpstr>ADBT_sub15</vt:lpstr>
      <vt:lpstr>ADBT_sub16</vt:lpstr>
      <vt:lpstr>ADBT_sub17</vt:lpstr>
      <vt:lpstr>ADBT0</vt:lpstr>
      <vt:lpstr>ADBT1</vt:lpstr>
      <vt:lpstr>ADBT12</vt:lpstr>
      <vt:lpstr>ADBT13</vt:lpstr>
      <vt:lpstr>ADBT14</vt:lpstr>
      <vt:lpstr>ADBT15</vt:lpstr>
      <vt:lpstr>ADBT16</vt:lpstr>
      <vt:lpstr>ADBT17</vt:lpstr>
      <vt:lpstr>ADBT18</vt:lpstr>
      <vt:lpstr>ADBT19</vt:lpstr>
      <vt:lpstr>ADBT2</vt:lpstr>
      <vt:lpstr>ADBT20</vt:lpstr>
      <vt:lpstr>ADBT3</vt:lpstr>
      <vt:lpstr>ADBT8</vt:lpstr>
      <vt:lpstr>ADBT9</vt:lpstr>
      <vt:lpstr>ADFume_option01</vt:lpstr>
      <vt:lpstr>ADIND_option02</vt:lpstr>
      <vt:lpstr>ADIND_option03</vt:lpstr>
      <vt:lpstr>ADPT</vt:lpstr>
      <vt:lpstr>ADPT01</vt:lpstr>
      <vt:lpstr>ADPT02</vt:lpstr>
      <vt:lpstr>ADPT03</vt:lpstr>
      <vt:lpstr>ADPT04</vt:lpstr>
      <vt:lpstr>AIS_NA</vt:lpstr>
      <vt:lpstr>ais_no</vt:lpstr>
      <vt:lpstr>AIS_statement29</vt:lpstr>
      <vt:lpstr>ais_yes</vt:lpstr>
      <vt:lpstr>BP_01</vt:lpstr>
      <vt:lpstr>BP_02</vt:lpstr>
      <vt:lpstr>BP_03</vt:lpstr>
      <vt:lpstr>BP_04</vt:lpstr>
      <vt:lpstr>BP_05</vt:lpstr>
      <vt:lpstr>BP_06</vt:lpstr>
      <vt:lpstr>BP_07</vt:lpstr>
      <vt:lpstr>BP_08</vt:lpstr>
      <vt:lpstr>BP_09</vt:lpstr>
      <vt:lpstr>BP_10</vt:lpstr>
      <vt:lpstr>BP_11</vt:lpstr>
      <vt:lpstr>BP_12</vt:lpstr>
      <vt:lpstr>BP_13</vt:lpstr>
      <vt:lpstr>BP_14</vt:lpstr>
      <vt:lpstr>BP_15</vt:lpstr>
      <vt:lpstr>BP_16</vt:lpstr>
      <vt:lpstr>BP_18</vt:lpstr>
      <vt:lpstr>BP_19</vt:lpstr>
      <vt:lpstr>BP_20</vt:lpstr>
      <vt:lpstr>BP_21</vt:lpstr>
      <vt:lpstr>BP_22</vt:lpstr>
      <vt:lpstr>BP_23</vt:lpstr>
      <vt:lpstr>BP_24</vt:lpstr>
      <vt:lpstr>BP_25</vt:lpstr>
      <vt:lpstr>BP_26</vt:lpstr>
      <vt:lpstr>BP_27</vt:lpstr>
      <vt:lpstr>BP_28</vt:lpstr>
      <vt:lpstr>BP_29</vt:lpstr>
      <vt:lpstr>BP_30</vt:lpstr>
      <vt:lpstr>BP_31</vt:lpstr>
      <vt:lpstr>BP_BREEAMRating</vt:lpstr>
      <vt:lpstr>BP_Energy_score</vt:lpstr>
      <vt:lpstr>BP_Innovation_score</vt:lpstr>
      <vt:lpstr>BP_LUE_score</vt:lpstr>
      <vt:lpstr>BP_Man_score</vt:lpstr>
      <vt:lpstr>BP_Materials_score</vt:lpstr>
      <vt:lpstr>BP_MinStandards</vt:lpstr>
      <vt:lpstr>BP_MinStandards_const</vt:lpstr>
      <vt:lpstr>BP_MinStandards_design</vt:lpstr>
      <vt:lpstr>BP_Trans_score</vt:lpstr>
      <vt:lpstr>BP_Waste_Score</vt:lpstr>
      <vt:lpstr>BP_Water_score</vt:lpstr>
      <vt:lpstr>'PAE available for copy'!BRK_Banner</vt:lpstr>
      <vt:lpstr>BRK_Banner</vt:lpstr>
      <vt:lpstr>Ene_01</vt:lpstr>
      <vt:lpstr>Ene_02</vt:lpstr>
      <vt:lpstr>Ene_03</vt:lpstr>
      <vt:lpstr>Ene_04</vt:lpstr>
      <vt:lpstr>Ene_05</vt:lpstr>
      <vt:lpstr>Ene_06</vt:lpstr>
      <vt:lpstr>Ene_07</vt:lpstr>
      <vt:lpstr>Ene_08</vt:lpstr>
      <vt:lpstr>Ene_09</vt:lpstr>
      <vt:lpstr>Ene_23</vt:lpstr>
      <vt:lpstr>Ene_c_user</vt:lpstr>
      <vt:lpstr>Ene_cont_tot</vt:lpstr>
      <vt:lpstr>Ene_Credits</vt:lpstr>
      <vt:lpstr>Ene_d_user</vt:lpstr>
      <vt:lpstr>Ene_tot_user</vt:lpstr>
      <vt:lpstr>Ene_Weight</vt:lpstr>
      <vt:lpstr>Ene01_27</vt:lpstr>
      <vt:lpstr>Ene01_28</vt:lpstr>
      <vt:lpstr>Ene01_41</vt:lpstr>
      <vt:lpstr>Ene01_42</vt:lpstr>
      <vt:lpstr>Ene01_credits</vt:lpstr>
      <vt:lpstr>Ene01_Crit1</vt:lpstr>
      <vt:lpstr>Ene01_Crit1_credits</vt:lpstr>
      <vt:lpstr>Ene01_minstd</vt:lpstr>
      <vt:lpstr>Ene01_tot</vt:lpstr>
      <vt:lpstr>Ene01_user</vt:lpstr>
      <vt:lpstr>Ene02_10</vt:lpstr>
      <vt:lpstr>Ene02_11</vt:lpstr>
      <vt:lpstr>Ene02_12</vt:lpstr>
      <vt:lpstr>Ene02_13</vt:lpstr>
      <vt:lpstr>Ene02_credits</vt:lpstr>
      <vt:lpstr>Ene02_tot</vt:lpstr>
      <vt:lpstr>Ene02_user</vt:lpstr>
      <vt:lpstr>Ene03_05</vt:lpstr>
      <vt:lpstr>Ene03_06</vt:lpstr>
      <vt:lpstr>Ene03_credits</vt:lpstr>
      <vt:lpstr>Ene03_minstd</vt:lpstr>
      <vt:lpstr>Ene03_user</vt:lpstr>
      <vt:lpstr>Ene04_15</vt:lpstr>
      <vt:lpstr>Ene04_16</vt:lpstr>
      <vt:lpstr>Ene04_19</vt:lpstr>
      <vt:lpstr>Ene04_20</vt:lpstr>
      <vt:lpstr>Ene04_credits</vt:lpstr>
      <vt:lpstr>Ene04_tot</vt:lpstr>
      <vt:lpstr>Ene04_user</vt:lpstr>
      <vt:lpstr>Ene05_14</vt:lpstr>
      <vt:lpstr>Ene05_15</vt:lpstr>
      <vt:lpstr>Ene05_20</vt:lpstr>
      <vt:lpstr>Ene05_21</vt:lpstr>
      <vt:lpstr>Ene05_credits</vt:lpstr>
      <vt:lpstr>Ene05_tot</vt:lpstr>
      <vt:lpstr>Ene05_user</vt:lpstr>
      <vt:lpstr>Ene06_11</vt:lpstr>
      <vt:lpstr>Ene06_12</vt:lpstr>
      <vt:lpstr>Ene06_credits</vt:lpstr>
      <vt:lpstr>Ene06_minstd</vt:lpstr>
      <vt:lpstr>Ene06_tot</vt:lpstr>
      <vt:lpstr>Ene06_user</vt:lpstr>
      <vt:lpstr>Ene07_24</vt:lpstr>
      <vt:lpstr>Ene07_25</vt:lpstr>
      <vt:lpstr>Ene07_credits</vt:lpstr>
      <vt:lpstr>Ene07_minstd</vt:lpstr>
      <vt:lpstr>Ene07_tot</vt:lpstr>
      <vt:lpstr>Ene07_user</vt:lpstr>
      <vt:lpstr>Ene08_27</vt:lpstr>
      <vt:lpstr>Ene08_29</vt:lpstr>
      <vt:lpstr>Ene08_credits</vt:lpstr>
      <vt:lpstr>Ene08_minstd</vt:lpstr>
      <vt:lpstr>Ene08_tot</vt:lpstr>
      <vt:lpstr>Ene08_user</vt:lpstr>
      <vt:lpstr>Ene09_07</vt:lpstr>
      <vt:lpstr>Ene09_10</vt:lpstr>
      <vt:lpstr>Ene09_credits</vt:lpstr>
      <vt:lpstr>Ene09_minstd</vt:lpstr>
      <vt:lpstr>Ene09_tot</vt:lpstr>
      <vt:lpstr>Ene09_user</vt:lpstr>
      <vt:lpstr>Ene23_cont</vt:lpstr>
      <vt:lpstr>Ene23_credits</vt:lpstr>
      <vt:lpstr>Ene23_minstd</vt:lpstr>
      <vt:lpstr>Ene23_user</vt:lpstr>
      <vt:lpstr>Hea_01</vt:lpstr>
      <vt:lpstr>Hea_02</vt:lpstr>
      <vt:lpstr>Hea_03</vt:lpstr>
      <vt:lpstr>Hea_04</vt:lpstr>
      <vt:lpstr>Hea_05</vt:lpstr>
      <vt:lpstr>Hea_06</vt:lpstr>
      <vt:lpstr>Hea_07</vt:lpstr>
      <vt:lpstr>Hea_08</vt:lpstr>
      <vt:lpstr>Hea_09</vt:lpstr>
      <vt:lpstr>Hea_cont_tot</vt:lpstr>
      <vt:lpstr>Hea_Credits</vt:lpstr>
      <vt:lpstr>Hea_Weight</vt:lpstr>
      <vt:lpstr>Hea01_26</vt:lpstr>
      <vt:lpstr>Hea01_27</vt:lpstr>
      <vt:lpstr>Hea01_credits</vt:lpstr>
      <vt:lpstr>Hea01_minstd</vt:lpstr>
      <vt:lpstr>Hea01_user</vt:lpstr>
      <vt:lpstr>Hea02_25</vt:lpstr>
      <vt:lpstr>Hea02_26</vt:lpstr>
      <vt:lpstr>Hea02_credits</vt:lpstr>
      <vt:lpstr>Hea02_Crit1</vt:lpstr>
      <vt:lpstr>Hea02_Crit1_cont</vt:lpstr>
      <vt:lpstr>Hea02_Crit1_credits</vt:lpstr>
      <vt:lpstr>Hea02_minst_crit</vt:lpstr>
      <vt:lpstr>Hea02_minstd</vt:lpstr>
      <vt:lpstr>Hea02_tot</vt:lpstr>
      <vt:lpstr>Hea02_user</vt:lpstr>
      <vt:lpstr>Hea03_09</vt:lpstr>
      <vt:lpstr>Hea03_10</vt:lpstr>
      <vt:lpstr>Hea03_11</vt:lpstr>
      <vt:lpstr>Hea03_contr</vt:lpstr>
      <vt:lpstr>Hea03_credits</vt:lpstr>
      <vt:lpstr>Hea03_tot</vt:lpstr>
      <vt:lpstr>Hea03_user</vt:lpstr>
      <vt:lpstr>Hea04_10</vt:lpstr>
      <vt:lpstr>Hea04_11</vt:lpstr>
      <vt:lpstr>Hea04_12</vt:lpstr>
      <vt:lpstr>Hea04_13</vt:lpstr>
      <vt:lpstr>Hea04_credits</vt:lpstr>
      <vt:lpstr>Hea04_tot</vt:lpstr>
      <vt:lpstr>Hea04_user</vt:lpstr>
      <vt:lpstr>Hea05_07</vt:lpstr>
      <vt:lpstr>Hea05_08</vt:lpstr>
      <vt:lpstr>Hea05_credits</vt:lpstr>
      <vt:lpstr>Hea05_minstd</vt:lpstr>
      <vt:lpstr>Hea05_tot</vt:lpstr>
      <vt:lpstr>Hea05_user</vt:lpstr>
      <vt:lpstr>Hea06_07</vt:lpstr>
      <vt:lpstr>Hea06_contr</vt:lpstr>
      <vt:lpstr>Hea06_credits</vt:lpstr>
      <vt:lpstr>Hea06_minstd</vt:lpstr>
      <vt:lpstr>Hea06_tot</vt:lpstr>
      <vt:lpstr>Hea06_user</vt:lpstr>
      <vt:lpstr>Hea07_07</vt:lpstr>
      <vt:lpstr>Hea07_contr</vt:lpstr>
      <vt:lpstr>Hea07_Credits</vt:lpstr>
      <vt:lpstr>Hea07_minstd</vt:lpstr>
      <vt:lpstr>Hea07_Tot</vt:lpstr>
      <vt:lpstr>Hea07_user</vt:lpstr>
      <vt:lpstr>Hea08_07</vt:lpstr>
      <vt:lpstr>Hea08_contr</vt:lpstr>
      <vt:lpstr>Hea08_Credits</vt:lpstr>
      <vt:lpstr>Hea08_minstd</vt:lpstr>
      <vt:lpstr>Hea08_tot</vt:lpstr>
      <vt:lpstr>Hea08_user</vt:lpstr>
      <vt:lpstr>Hea09_cont</vt:lpstr>
      <vt:lpstr>Hea09_Credits</vt:lpstr>
      <vt:lpstr>Hea09_minstd</vt:lpstr>
      <vt:lpstr>Hea09_user</vt:lpstr>
      <vt:lpstr>'PAE available for copy'!HUG</vt:lpstr>
      <vt:lpstr>HUG</vt:lpstr>
      <vt:lpstr>HW_c_user</vt:lpstr>
      <vt:lpstr>HW_d_user</vt:lpstr>
      <vt:lpstr>HW_tot_user</vt:lpstr>
      <vt:lpstr>Inn_01</vt:lpstr>
      <vt:lpstr>Inn_02</vt:lpstr>
      <vt:lpstr>Inn_03</vt:lpstr>
      <vt:lpstr>Inn_04</vt:lpstr>
      <vt:lpstr>Inn_05</vt:lpstr>
      <vt:lpstr>Inn_06</vt:lpstr>
      <vt:lpstr>Inn_07</vt:lpstr>
      <vt:lpstr>Inn_08</vt:lpstr>
      <vt:lpstr>Inn_09</vt:lpstr>
      <vt:lpstr>Inn_10</vt:lpstr>
      <vt:lpstr>Inn_11</vt:lpstr>
      <vt:lpstr>Inn_12</vt:lpstr>
      <vt:lpstr>Inn_13</vt:lpstr>
      <vt:lpstr>Inn_c_user</vt:lpstr>
      <vt:lpstr>Inn_cont_tot</vt:lpstr>
      <vt:lpstr>Inn_Credits</vt:lpstr>
      <vt:lpstr>Inn_d_user</vt:lpstr>
      <vt:lpstr>Inn_tot_user</vt:lpstr>
      <vt:lpstr>Inn_Weight</vt:lpstr>
      <vt:lpstr>Inn01_cont</vt:lpstr>
      <vt:lpstr>Inn01_credits</vt:lpstr>
      <vt:lpstr>Inn01_minstd</vt:lpstr>
      <vt:lpstr>Inn01_user</vt:lpstr>
      <vt:lpstr>Inn02_cont</vt:lpstr>
      <vt:lpstr>Inn02_credits</vt:lpstr>
      <vt:lpstr>Inn02_minstd</vt:lpstr>
      <vt:lpstr>Inn02_user</vt:lpstr>
      <vt:lpstr>Inn03_cont</vt:lpstr>
      <vt:lpstr>Inn03_credits</vt:lpstr>
      <vt:lpstr>Inn03_minstd</vt:lpstr>
      <vt:lpstr>Inn03_user</vt:lpstr>
      <vt:lpstr>Inn04_cont</vt:lpstr>
      <vt:lpstr>Inn04_credits</vt:lpstr>
      <vt:lpstr>Inn04_minstd</vt:lpstr>
      <vt:lpstr>Inn04_user</vt:lpstr>
      <vt:lpstr>Inn05_cont</vt:lpstr>
      <vt:lpstr>Inn05_credits</vt:lpstr>
      <vt:lpstr>Inn05_minstd</vt:lpstr>
      <vt:lpstr>Inn05_user</vt:lpstr>
      <vt:lpstr>Inn06_cont</vt:lpstr>
      <vt:lpstr>Inn06_credits</vt:lpstr>
      <vt:lpstr>Inn06_minstd</vt:lpstr>
      <vt:lpstr>Inn06_user</vt:lpstr>
      <vt:lpstr>Inn07_cont</vt:lpstr>
      <vt:lpstr>Inn07_credits</vt:lpstr>
      <vt:lpstr>Inn07_minstd</vt:lpstr>
      <vt:lpstr>Inn07_user</vt:lpstr>
      <vt:lpstr>Inn08_cont</vt:lpstr>
      <vt:lpstr>Inn08_credits</vt:lpstr>
      <vt:lpstr>Inn08_minstd</vt:lpstr>
      <vt:lpstr>Inn08_user</vt:lpstr>
      <vt:lpstr>Inn09_cont</vt:lpstr>
      <vt:lpstr>Inn09_credits</vt:lpstr>
      <vt:lpstr>Inn09_minstd</vt:lpstr>
      <vt:lpstr>Inn09_user</vt:lpstr>
      <vt:lpstr>Inn10_cont</vt:lpstr>
      <vt:lpstr>Inn10_credits</vt:lpstr>
      <vt:lpstr>Inn10_minstd</vt:lpstr>
      <vt:lpstr>Inn10_user</vt:lpstr>
      <vt:lpstr>Inn11_cont</vt:lpstr>
      <vt:lpstr>Inn11_credits</vt:lpstr>
      <vt:lpstr>Inn11_minstd</vt:lpstr>
      <vt:lpstr>Inn11_user</vt:lpstr>
      <vt:lpstr>Inn12_cont</vt:lpstr>
      <vt:lpstr>Inn12_credits</vt:lpstr>
      <vt:lpstr>Inn12_minstd</vt:lpstr>
      <vt:lpstr>Inn12_user</vt:lpstr>
      <vt:lpstr>Inn13_cont</vt:lpstr>
      <vt:lpstr>Inn13_credits</vt:lpstr>
      <vt:lpstr>Inn13_minstd</vt:lpstr>
      <vt:lpstr>Inn13_user</vt:lpstr>
      <vt:lpstr>janei</vt:lpstr>
      <vt:lpstr>LE_01</vt:lpstr>
      <vt:lpstr>LE_02</vt:lpstr>
      <vt:lpstr>LE_03</vt:lpstr>
      <vt:lpstr>LE_04</vt:lpstr>
      <vt:lpstr>LE_05</vt:lpstr>
      <vt:lpstr>LE_06</vt:lpstr>
      <vt:lpstr>LE_07</vt:lpstr>
      <vt:lpstr>LE_08</vt:lpstr>
      <vt:lpstr>LE_cont_tot</vt:lpstr>
      <vt:lpstr>LE_Credits</vt:lpstr>
      <vt:lpstr>LE_Weight</vt:lpstr>
      <vt:lpstr>LE01_07</vt:lpstr>
      <vt:lpstr>LE01_08</vt:lpstr>
      <vt:lpstr>LE01_credits</vt:lpstr>
      <vt:lpstr>LE01_minstd</vt:lpstr>
      <vt:lpstr>LE01_tot</vt:lpstr>
      <vt:lpstr>LE01_user</vt:lpstr>
      <vt:lpstr>LE02_07</vt:lpstr>
      <vt:lpstr>LE02_08</vt:lpstr>
      <vt:lpstr>LE02_credits</vt:lpstr>
      <vt:lpstr>LE02_minstd</vt:lpstr>
      <vt:lpstr>LE02_tot</vt:lpstr>
      <vt:lpstr>LE02_user</vt:lpstr>
      <vt:lpstr>LE03_07</vt:lpstr>
      <vt:lpstr>LE03_cont</vt:lpstr>
      <vt:lpstr>LE03_credits</vt:lpstr>
      <vt:lpstr>LE03_minstd</vt:lpstr>
      <vt:lpstr>LE03_user</vt:lpstr>
      <vt:lpstr>LE04_13</vt:lpstr>
      <vt:lpstr>LE04_14</vt:lpstr>
      <vt:lpstr>LE04_credits</vt:lpstr>
      <vt:lpstr>LE04_minstd</vt:lpstr>
      <vt:lpstr>LE04_tot</vt:lpstr>
      <vt:lpstr>LE04_user</vt:lpstr>
      <vt:lpstr>LE05_14</vt:lpstr>
      <vt:lpstr>LE05_15</vt:lpstr>
      <vt:lpstr>LE05_credits</vt:lpstr>
      <vt:lpstr>LE05_minstd</vt:lpstr>
      <vt:lpstr>LE05_minstdach</vt:lpstr>
      <vt:lpstr>LE05_tot</vt:lpstr>
      <vt:lpstr>LE05_user</vt:lpstr>
      <vt:lpstr>LE06_07</vt:lpstr>
      <vt:lpstr>LE06_contr</vt:lpstr>
      <vt:lpstr>LE06_credits</vt:lpstr>
      <vt:lpstr>LE06_minstd</vt:lpstr>
      <vt:lpstr>LE06_tot</vt:lpstr>
      <vt:lpstr>LE06_user</vt:lpstr>
      <vt:lpstr>LE07_07</vt:lpstr>
      <vt:lpstr>LE07_cont</vt:lpstr>
      <vt:lpstr>LE07_credits</vt:lpstr>
      <vt:lpstr>LE07_minstd</vt:lpstr>
      <vt:lpstr>LE07_user</vt:lpstr>
      <vt:lpstr>LE08_07</vt:lpstr>
      <vt:lpstr>LE08_cont</vt:lpstr>
      <vt:lpstr>LE08_credits</vt:lpstr>
      <vt:lpstr>LE08_minstd</vt:lpstr>
      <vt:lpstr>LE08_user</vt:lpstr>
      <vt:lpstr>Lue_c_user</vt:lpstr>
      <vt:lpstr>Lue_d_user</vt:lpstr>
      <vt:lpstr>Lue_tot_user</vt:lpstr>
      <vt:lpstr>Man_01</vt:lpstr>
      <vt:lpstr>Man_02</vt:lpstr>
      <vt:lpstr>Man_03</vt:lpstr>
      <vt:lpstr>Man_04</vt:lpstr>
      <vt:lpstr>Man_05</vt:lpstr>
      <vt:lpstr>Man_06</vt:lpstr>
      <vt:lpstr>Man_07</vt:lpstr>
      <vt:lpstr>Man_c_user</vt:lpstr>
      <vt:lpstr>Man_cont_tot</vt:lpstr>
      <vt:lpstr>Man_Credits</vt:lpstr>
      <vt:lpstr>Man_d_user</vt:lpstr>
      <vt:lpstr>Man_tot_user</vt:lpstr>
      <vt:lpstr>Man_Weight</vt:lpstr>
      <vt:lpstr>Man01_37</vt:lpstr>
      <vt:lpstr>Man01_38</vt:lpstr>
      <vt:lpstr>Man01_39</vt:lpstr>
      <vt:lpstr>Man01_credits</vt:lpstr>
      <vt:lpstr>Man01_Crit1</vt:lpstr>
      <vt:lpstr>Man01_Crit1_cont</vt:lpstr>
      <vt:lpstr>Man01_Crit1_credits</vt:lpstr>
      <vt:lpstr>Man01_Exemp</vt:lpstr>
      <vt:lpstr>Man01_minstd</vt:lpstr>
      <vt:lpstr>Man01_Tot</vt:lpstr>
      <vt:lpstr>Man01_user</vt:lpstr>
      <vt:lpstr>Man02_11</vt:lpstr>
      <vt:lpstr>Man02_12</vt:lpstr>
      <vt:lpstr>Man02_credits</vt:lpstr>
      <vt:lpstr>Man02_Exempl</vt:lpstr>
      <vt:lpstr>Man02_minstd</vt:lpstr>
      <vt:lpstr>Man02_Tot</vt:lpstr>
      <vt:lpstr>Man02_user</vt:lpstr>
      <vt:lpstr>Man03_12</vt:lpstr>
      <vt:lpstr>Man03_18</vt:lpstr>
      <vt:lpstr>Man03_credits</vt:lpstr>
      <vt:lpstr>Man03_Crit1</vt:lpstr>
      <vt:lpstr>Man03_Crit1_credits</vt:lpstr>
      <vt:lpstr>Man03_minstd</vt:lpstr>
      <vt:lpstr>Man03_minstd_cri</vt:lpstr>
      <vt:lpstr>Man03_Tot</vt:lpstr>
      <vt:lpstr>Man03_user</vt:lpstr>
      <vt:lpstr>Man04_17</vt:lpstr>
      <vt:lpstr>Man04_cont</vt:lpstr>
      <vt:lpstr>Man04_credits</vt:lpstr>
      <vt:lpstr>Man04_Crit1</vt:lpstr>
      <vt:lpstr>Man04_Crit1_credits</vt:lpstr>
      <vt:lpstr>Man04_minstd</vt:lpstr>
      <vt:lpstr>Man04_minstd_cri</vt:lpstr>
      <vt:lpstr>Man04_tot</vt:lpstr>
      <vt:lpstr>Man04_user</vt:lpstr>
      <vt:lpstr>Man05_10</vt:lpstr>
      <vt:lpstr>Man05_cont</vt:lpstr>
      <vt:lpstr>Man05_credits</vt:lpstr>
      <vt:lpstr>Man05_Crit1</vt:lpstr>
      <vt:lpstr>Man05_Crit1_credits</vt:lpstr>
      <vt:lpstr>Man05_minstd</vt:lpstr>
      <vt:lpstr>Man05_minstd_cri</vt:lpstr>
      <vt:lpstr>Man05_tot</vt:lpstr>
      <vt:lpstr>Man05_user</vt:lpstr>
      <vt:lpstr>Man06_cont</vt:lpstr>
      <vt:lpstr>Man06_credits</vt:lpstr>
      <vt:lpstr>Man06_minstd</vt:lpstr>
      <vt:lpstr>Man06_user</vt:lpstr>
      <vt:lpstr>Man07_cont</vt:lpstr>
      <vt:lpstr>Man07_credits</vt:lpstr>
      <vt:lpstr>Man07_minstd</vt:lpstr>
      <vt:lpstr>Man07_user</vt:lpstr>
      <vt:lpstr>Mat_01</vt:lpstr>
      <vt:lpstr>Mat_02</vt:lpstr>
      <vt:lpstr>Mat_03</vt:lpstr>
      <vt:lpstr>Mat_05</vt:lpstr>
      <vt:lpstr>Mat_06</vt:lpstr>
      <vt:lpstr>Mat_07</vt:lpstr>
      <vt:lpstr>Mat_c_user</vt:lpstr>
      <vt:lpstr>Mat_cont_tot</vt:lpstr>
      <vt:lpstr>Mat_Credits</vt:lpstr>
      <vt:lpstr>Mat_d_user</vt:lpstr>
      <vt:lpstr>Mat_tot_user</vt:lpstr>
      <vt:lpstr>Mat_Weight</vt:lpstr>
      <vt:lpstr>Mat01_08</vt:lpstr>
      <vt:lpstr>Mat01_27</vt:lpstr>
      <vt:lpstr>Mat01_28</vt:lpstr>
      <vt:lpstr>Mat01_credits</vt:lpstr>
      <vt:lpstr>Mat01_Crit1</vt:lpstr>
      <vt:lpstr>Mat01_Crit1_credits</vt:lpstr>
      <vt:lpstr>Mat01_minstd</vt:lpstr>
      <vt:lpstr>Mat01_minstd2</vt:lpstr>
      <vt:lpstr>Mat01_tot</vt:lpstr>
      <vt:lpstr>Mat01_user</vt:lpstr>
      <vt:lpstr>Mat02_37</vt:lpstr>
      <vt:lpstr>Mat02_cont</vt:lpstr>
      <vt:lpstr>Mat02_credits</vt:lpstr>
      <vt:lpstr>Mat02_Crit1</vt:lpstr>
      <vt:lpstr>Mat02_Crit1_cont</vt:lpstr>
      <vt:lpstr>Mat02_Crit1_credits</vt:lpstr>
      <vt:lpstr>Mat02_minstd</vt:lpstr>
      <vt:lpstr>Mat02_minstd2</vt:lpstr>
      <vt:lpstr>Mat02_user</vt:lpstr>
      <vt:lpstr>Mat03_35</vt:lpstr>
      <vt:lpstr>Mat03_36</vt:lpstr>
      <vt:lpstr>Mat03_37</vt:lpstr>
      <vt:lpstr>Mat03_38</vt:lpstr>
      <vt:lpstr>Mat03_credits</vt:lpstr>
      <vt:lpstr>Mat03_Crit1</vt:lpstr>
      <vt:lpstr>Mat03_Crit1_cont</vt:lpstr>
      <vt:lpstr>Mat03_Crit1_credits</vt:lpstr>
      <vt:lpstr>Mat03_minstd</vt:lpstr>
      <vt:lpstr>Mat03_tot</vt:lpstr>
      <vt:lpstr>Mat03_user</vt:lpstr>
      <vt:lpstr>Mat05_05</vt:lpstr>
      <vt:lpstr>Mat05_06</vt:lpstr>
      <vt:lpstr>Mat05_credits</vt:lpstr>
      <vt:lpstr>Mat05_minstd</vt:lpstr>
      <vt:lpstr>Mat05_tot</vt:lpstr>
      <vt:lpstr>Mat05_user</vt:lpstr>
      <vt:lpstr>Mat06_05</vt:lpstr>
      <vt:lpstr>Mat06_cont</vt:lpstr>
      <vt:lpstr>Mat06_credits</vt:lpstr>
      <vt:lpstr>Mat06_Crit1</vt:lpstr>
      <vt:lpstr>Mat06_Crit1_credits</vt:lpstr>
      <vt:lpstr>Mat06_minstd</vt:lpstr>
      <vt:lpstr>Mat06_minstd_cred</vt:lpstr>
      <vt:lpstr>Mat06_user</vt:lpstr>
      <vt:lpstr>Mat07_05</vt:lpstr>
      <vt:lpstr>Mat07_cont</vt:lpstr>
      <vt:lpstr>Mat07_credits</vt:lpstr>
      <vt:lpstr>Mat07_Crit1</vt:lpstr>
      <vt:lpstr>Mat07_Crit1_credits</vt:lpstr>
      <vt:lpstr>Mat07_minstd</vt:lpstr>
      <vt:lpstr>Mat07_minstd_cred</vt:lpstr>
      <vt:lpstr>Mat07_user</vt:lpstr>
      <vt:lpstr>Note_minstand</vt:lpstr>
      <vt:lpstr>Note_minstand_const</vt:lpstr>
      <vt:lpstr>Note_minstand_design</vt:lpstr>
      <vt:lpstr>Poeng_bort</vt:lpstr>
      <vt:lpstr>Poeng_tilgj</vt:lpstr>
      <vt:lpstr>Poeng_tot</vt:lpstr>
      <vt:lpstr>Pol_01</vt:lpstr>
      <vt:lpstr>Pol_02</vt:lpstr>
      <vt:lpstr>Pol_03</vt:lpstr>
      <vt:lpstr>Pol_04</vt:lpstr>
      <vt:lpstr>Pol_05</vt:lpstr>
      <vt:lpstr>Pol_c_user</vt:lpstr>
      <vt:lpstr>Pol_cont_tot</vt:lpstr>
      <vt:lpstr>Pol_Credits</vt:lpstr>
      <vt:lpstr>Pol_d_user</vt:lpstr>
      <vt:lpstr>Pol_tot_user</vt:lpstr>
      <vt:lpstr>Pol_Weight</vt:lpstr>
      <vt:lpstr>Pol01_19</vt:lpstr>
      <vt:lpstr>Pol01_20</vt:lpstr>
      <vt:lpstr>Pol01_credits</vt:lpstr>
      <vt:lpstr>Pol01_minstd</vt:lpstr>
      <vt:lpstr>Pol01_tot</vt:lpstr>
      <vt:lpstr>Pol01_user</vt:lpstr>
      <vt:lpstr>Pol02_26</vt:lpstr>
      <vt:lpstr>Pol02_27</vt:lpstr>
      <vt:lpstr>Pol02_credits</vt:lpstr>
      <vt:lpstr>Pol02_minstd</vt:lpstr>
      <vt:lpstr>Pol02_tot</vt:lpstr>
      <vt:lpstr>Pol02_user</vt:lpstr>
      <vt:lpstr>Pol03_14</vt:lpstr>
      <vt:lpstr>Pol03_15</vt:lpstr>
      <vt:lpstr>Pol03_credits</vt:lpstr>
      <vt:lpstr>Pol03_minstd</vt:lpstr>
      <vt:lpstr>Pol03_tot</vt:lpstr>
      <vt:lpstr>Pol03_user</vt:lpstr>
      <vt:lpstr>Pol04_05</vt:lpstr>
      <vt:lpstr>Pol04_06</vt:lpstr>
      <vt:lpstr>Pol04_credits</vt:lpstr>
      <vt:lpstr>Pol04_minstd</vt:lpstr>
      <vt:lpstr>Pol04_tot</vt:lpstr>
      <vt:lpstr>Pol04_user</vt:lpstr>
      <vt:lpstr>Pol05_10</vt:lpstr>
      <vt:lpstr>Pol05_11</vt:lpstr>
      <vt:lpstr>Pol05_credits</vt:lpstr>
      <vt:lpstr>Pol05_minstd</vt:lpstr>
      <vt:lpstr>Pol05_tot</vt:lpstr>
      <vt:lpstr>Pol05_user</vt:lpstr>
      <vt:lpstr>'Assessment Details'!Print_Area</vt:lpstr>
      <vt:lpstr>Instructions!Print_Area</vt:lpstr>
      <vt:lpstr>'PAE available for copy'!Print_Area</vt:lpstr>
      <vt:lpstr>'Pre-Assessment Estimator'!Print_Area</vt:lpstr>
      <vt:lpstr>'Summary of Building Performance'!Print_Area</vt:lpstr>
      <vt:lpstr>'Version Control'!Print_Area</vt:lpstr>
      <vt:lpstr>'PAE available for copy'!Print_Titles</vt:lpstr>
      <vt:lpstr>'Pre-Assessment Estimator'!Print_Titles</vt:lpstr>
      <vt:lpstr>projecttype</vt:lpstr>
      <vt:lpstr>Score_const</vt:lpstr>
      <vt:lpstr>Score_design</vt:lpstr>
      <vt:lpstr>Score_Initial</vt:lpstr>
      <vt:lpstr>status</vt:lpstr>
      <vt:lpstr>Tra_01</vt:lpstr>
      <vt:lpstr>Tra_02</vt:lpstr>
      <vt:lpstr>Tra_03</vt:lpstr>
      <vt:lpstr>Tra_04</vt:lpstr>
      <vt:lpstr>Tra_05</vt:lpstr>
      <vt:lpstr>Tra_06</vt:lpstr>
      <vt:lpstr>Tra_c_user</vt:lpstr>
      <vt:lpstr>Tra_cont_tot</vt:lpstr>
      <vt:lpstr>Tra_Credits</vt:lpstr>
      <vt:lpstr>Tra_d_user</vt:lpstr>
      <vt:lpstr>Tra_tot_user</vt:lpstr>
      <vt:lpstr>Tra_Weight</vt:lpstr>
      <vt:lpstr>Tra01_07</vt:lpstr>
      <vt:lpstr>TRa01_08</vt:lpstr>
      <vt:lpstr>TRA01_BuildType</vt:lpstr>
      <vt:lpstr>Tra01_credits</vt:lpstr>
      <vt:lpstr>Tra01_Crit1</vt:lpstr>
      <vt:lpstr>Tra01_Crit1_credits</vt:lpstr>
      <vt:lpstr>Tra01_minstd</vt:lpstr>
      <vt:lpstr>Tra01_tot</vt:lpstr>
      <vt:lpstr>Tra01_type7</vt:lpstr>
      <vt:lpstr>Tra01_user</vt:lpstr>
      <vt:lpstr>Tra02_06</vt:lpstr>
      <vt:lpstr>Tra02_07</vt:lpstr>
      <vt:lpstr>Tra02_credits</vt:lpstr>
      <vt:lpstr>Tra02_minstd</vt:lpstr>
      <vt:lpstr>Tra02_tot</vt:lpstr>
      <vt:lpstr>Tra02_user</vt:lpstr>
      <vt:lpstr>Tra03_02</vt:lpstr>
      <vt:lpstr>Tra03_13</vt:lpstr>
      <vt:lpstr>Tra03_14</vt:lpstr>
      <vt:lpstr>Tra03_credits</vt:lpstr>
      <vt:lpstr>Tra03_minstd</vt:lpstr>
      <vt:lpstr>Tra03_tot</vt:lpstr>
      <vt:lpstr>Tra03_user</vt:lpstr>
      <vt:lpstr>Tra04_09</vt:lpstr>
      <vt:lpstr>Tra04_10</vt:lpstr>
      <vt:lpstr>Tra04_credits</vt:lpstr>
      <vt:lpstr>Tra04_minstd</vt:lpstr>
      <vt:lpstr>Tra04_tot</vt:lpstr>
      <vt:lpstr>Tra04_user</vt:lpstr>
      <vt:lpstr>Tra05_04</vt:lpstr>
      <vt:lpstr>Tra05_05</vt:lpstr>
      <vt:lpstr>Tra05_credits</vt:lpstr>
      <vt:lpstr>Tra05_minstd</vt:lpstr>
      <vt:lpstr>Tra05_tot</vt:lpstr>
      <vt:lpstr>Tra05_user</vt:lpstr>
      <vt:lpstr>Tra06_04</vt:lpstr>
      <vt:lpstr>Tra06_05</vt:lpstr>
      <vt:lpstr>Tra06_credits</vt:lpstr>
      <vt:lpstr>Tra06_minstd</vt:lpstr>
      <vt:lpstr>Tra06_user</vt:lpstr>
      <vt:lpstr>TVC_current_date</vt:lpstr>
      <vt:lpstr>TVC_current_version</vt:lpstr>
      <vt:lpstr>Wat__Credits</vt:lpstr>
      <vt:lpstr>Wat_01</vt:lpstr>
      <vt:lpstr>Wat_02</vt:lpstr>
      <vt:lpstr>Wat_03</vt:lpstr>
      <vt:lpstr>Wat_04</vt:lpstr>
      <vt:lpstr>Wat_c_user</vt:lpstr>
      <vt:lpstr>Wat_cont_tot</vt:lpstr>
      <vt:lpstr>Wat_Credits</vt:lpstr>
      <vt:lpstr>Wat_d_user</vt:lpstr>
      <vt:lpstr>Wat_tot_user</vt:lpstr>
      <vt:lpstr>Wat_Weight</vt:lpstr>
      <vt:lpstr>Wat01_08</vt:lpstr>
      <vt:lpstr>Wat01_09</vt:lpstr>
      <vt:lpstr>Wat01_14</vt:lpstr>
      <vt:lpstr>Wat01_15</vt:lpstr>
      <vt:lpstr>Wat01_credits</vt:lpstr>
      <vt:lpstr>Wat01_minstd</vt:lpstr>
      <vt:lpstr>Wat01_tot</vt:lpstr>
      <vt:lpstr>Wat01_user</vt:lpstr>
      <vt:lpstr>Wat02_10</vt:lpstr>
      <vt:lpstr>Wat02_11</vt:lpstr>
      <vt:lpstr>Wat02_12</vt:lpstr>
      <vt:lpstr>Wat02_13</vt:lpstr>
      <vt:lpstr>Wat02_credits</vt:lpstr>
      <vt:lpstr>Wat02_tot</vt:lpstr>
      <vt:lpstr>Wat02_user</vt:lpstr>
      <vt:lpstr>Wat03_09</vt:lpstr>
      <vt:lpstr>Wat03_10</vt:lpstr>
      <vt:lpstr>Wat03_credits</vt:lpstr>
      <vt:lpstr>Wat03_minstd</vt:lpstr>
      <vt:lpstr>Wat03_tot</vt:lpstr>
      <vt:lpstr>Wat03_user</vt:lpstr>
      <vt:lpstr>Wat04_05</vt:lpstr>
      <vt:lpstr>Wat04_06</vt:lpstr>
      <vt:lpstr>Wat04_credits</vt:lpstr>
      <vt:lpstr>Wat04_minstd</vt:lpstr>
      <vt:lpstr>Wat04_tot</vt:lpstr>
      <vt:lpstr>Wat04_user</vt:lpstr>
      <vt:lpstr>Wst_01</vt:lpstr>
      <vt:lpstr>Wst_02</vt:lpstr>
      <vt:lpstr>Wst_03</vt:lpstr>
      <vt:lpstr>Wst_04</vt:lpstr>
      <vt:lpstr>Wst_c_user</vt:lpstr>
      <vt:lpstr>Wst_cont_tot</vt:lpstr>
      <vt:lpstr>Wst_Credits</vt:lpstr>
      <vt:lpstr>Wst_d_user</vt:lpstr>
      <vt:lpstr>Wst_tot_user</vt:lpstr>
      <vt:lpstr>Wst_Weight</vt:lpstr>
      <vt:lpstr>Wst01_17</vt:lpstr>
      <vt:lpstr>Wst01_18</vt:lpstr>
      <vt:lpstr>Wst01_27</vt:lpstr>
      <vt:lpstr>Wst01_28</vt:lpstr>
      <vt:lpstr>Wst01_credits</vt:lpstr>
      <vt:lpstr>Wst01_Crit1</vt:lpstr>
      <vt:lpstr>Wst01_Crit1_credits</vt:lpstr>
      <vt:lpstr>Wst01_minstd</vt:lpstr>
      <vt:lpstr>Wst01_tot</vt:lpstr>
      <vt:lpstr>Wst01_user</vt:lpstr>
      <vt:lpstr>Wst02_11</vt:lpstr>
      <vt:lpstr>Wst02_14</vt:lpstr>
      <vt:lpstr>Wst02_15</vt:lpstr>
      <vt:lpstr>Wst02_credits</vt:lpstr>
      <vt:lpstr>Wst02_minstd</vt:lpstr>
      <vt:lpstr>Wst02_tot</vt:lpstr>
      <vt:lpstr>Wst02_user</vt:lpstr>
      <vt:lpstr>Wst03_09</vt:lpstr>
      <vt:lpstr>Wst03_10</vt:lpstr>
      <vt:lpstr>Wst03_12</vt:lpstr>
      <vt:lpstr>Wst03_13</vt:lpstr>
      <vt:lpstr>Wst03_credits</vt:lpstr>
      <vt:lpstr>Wst03_tot</vt:lpstr>
      <vt:lpstr>Wst03_user</vt:lpstr>
      <vt:lpstr>Wst04_08</vt:lpstr>
      <vt:lpstr>Wst04_09</vt:lpstr>
      <vt:lpstr>Wst04_credits</vt:lpstr>
      <vt:lpstr>Wst04_minstd</vt:lpstr>
      <vt:lpstr>Wst04_tot</vt:lpstr>
      <vt:lpstr>Wst04_user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 Global Ltd</dc:creator>
  <cp:lastModifiedBy>Oddbjørn Dahlstrøm Andvik</cp:lastModifiedBy>
  <cp:lastPrinted>2022-02-25T07:29:44Z</cp:lastPrinted>
  <dcterms:created xsi:type="dcterms:W3CDTF">2011-03-28T14:05:06Z</dcterms:created>
  <dcterms:modified xsi:type="dcterms:W3CDTF">2022-04-22T12:22:57Z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f93258b0-3d18-444c-b93d-f11eafd208b0</vt:lpwstr>
  </property>
  <property fmtid="{D5CDD505-2E9C-101B-9397-08002B2CF9AE}" pid="3" name="ContentTypeId">
    <vt:lpwstr>0x010100EBAED53369A40C479E606D250AC40773</vt:lpwstr>
  </property>
  <property fmtid="{D5CDD505-2E9C-101B-9397-08002B2CF9AE}" pid="4" name="Order">
    <vt:r8>906500</vt:r8>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